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olddominion-my.sharepoint.com/personal/chyde_odu_edu/Documents/Documents/Research/dvcs/HallC-dvcs/2023-run/"/>
    </mc:Choice>
  </mc:AlternateContent>
  <xr:revisionPtr revIDLastSave="659" documentId="8_{AC3EBA11-9AF7-704D-B22F-A49FC61A1E77}" xr6:coauthVersionLast="47" xr6:coauthVersionMax="47" xr10:uidLastSave="{7E00F3C3-04E5-BF45-A3E2-DA088CD76264}"/>
  <bookViews>
    <workbookView xWindow="0" yWindow="1880" windowWidth="36120" windowHeight="17500" tabRatio="500" activeTab="2" xr2:uid="{00000000-000D-0000-FFFF-FFFF00000000}"/>
  </bookViews>
  <sheets>
    <sheet name="thq_vs_xBj" sheetId="5" r:id="rId1"/>
    <sheet name="Accel2023" sheetId="6" r:id="rId2"/>
    <sheet name="DVCS-Kin" sheetId="1" r:id="rId3"/>
    <sheet name="Cross Sections" sheetId="4" r:id="rId4"/>
    <sheet name="DIS" sheetId="2" r:id="rId5"/>
    <sheet name="El Kin" sheetId="3" r:id="rId6"/>
  </sheets>
  <definedNames>
    <definedName name="Calo_A">'DVCS-Kin'!$C$4</definedName>
    <definedName name="Calo_C">'DVCS-Kin'!$C$8</definedName>
    <definedName name="DeltaT">'DVCS-Kin'!$C$9</definedName>
    <definedName name="deltaTh_e">'El Kin'!$B$9</definedName>
    <definedName name="dth">'El Kin'!$B$2</definedName>
    <definedName name="dW2_">DIS!$B$5</definedName>
    <definedName name="EBeam">'El Kin'!$B$5</definedName>
    <definedName name="HalfTarget">'Cross Sections'!$B$6</definedName>
    <definedName name="HMS_Acc">'DVCS-Kin'!$C$6</definedName>
    <definedName name="HMS_ddelta">'DVCS-Kin'!$C$7</definedName>
    <definedName name="HRS_Acc">'DVCS-Kin'!$C$2</definedName>
    <definedName name="HRS_ddelta">'DVCS-Kin'!$C$3</definedName>
    <definedName name="Injector">'DVCS-Kin'!$C$11</definedName>
    <definedName name="InjectorFY17">'DVCS-Kin'!$J$11</definedName>
    <definedName name="InjectorFY23">'DVCS-Kin'!$J$11</definedName>
    <definedName name="kBeam">DIS!$B$2</definedName>
    <definedName name="Linac">'DVCS-Kin'!$C$12</definedName>
    <definedName name="LinacFY17">'DVCS-Kin'!$J$12</definedName>
    <definedName name="LinacFY23">'DVCS-Kin'!$J$12</definedName>
    <definedName name="MPr">DIS!$B$3</definedName>
    <definedName name="MProton" localSheetId="2">'DVCS-Kin'!$C$5</definedName>
    <definedName name="MProton">'El Kin'!$B$6</definedName>
    <definedName name="nbarn">'DVCS-Kin'!$C$10</definedName>
    <definedName name="_xlnm.Print_Area" localSheetId="2">'DVCS-Kin'!$A$1:$P$55</definedName>
    <definedName name="_xlnm.Print_Titles" localSheetId="2">'DVCS-Kin'!$A:$A</definedName>
    <definedName name="theta">DIS!$B$4</definedName>
    <definedName name="Theta_e">'El Kin'!$B$7</definedName>
    <definedName name="thetaDS">'Cross Sections'!$B$5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8" i="1" l="1"/>
  <c r="S28" i="1"/>
  <c r="T28" i="1"/>
  <c r="Q28" i="1"/>
  <c r="J28" i="1"/>
  <c r="K28" i="1"/>
  <c r="L28" i="1"/>
  <c r="M28" i="1"/>
  <c r="N28" i="1"/>
  <c r="O28" i="1"/>
  <c r="I28" i="1"/>
  <c r="D28" i="1"/>
  <c r="E28" i="1"/>
  <c r="F28" i="1"/>
  <c r="G28" i="1"/>
  <c r="H28" i="1"/>
  <c r="C28" i="1"/>
  <c r="A43" i="3" l="1"/>
  <c r="B43" i="3" s="1"/>
  <c r="A44" i="3"/>
  <c r="B44" i="3" s="1"/>
  <c r="A45" i="3"/>
  <c r="B45" i="3" s="1"/>
  <c r="A46" i="3"/>
  <c r="B46" i="3" s="1"/>
  <c r="A42" i="3"/>
  <c r="B42" i="3" s="1"/>
  <c r="D4" i="3"/>
  <c r="D5" i="3" s="1"/>
  <c r="E4" i="3"/>
  <c r="C4" i="3"/>
  <c r="C5" i="3" s="1"/>
  <c r="A7" i="3"/>
  <c r="A8" i="3" s="1"/>
  <c r="B6" i="3"/>
  <c r="A9" i="3" l="1"/>
  <c r="B8" i="3"/>
  <c r="C8" i="3" s="1"/>
  <c r="E8" i="3"/>
  <c r="D8" i="3"/>
  <c r="E6" i="3"/>
  <c r="D6" i="3"/>
  <c r="E5" i="3"/>
  <c r="B7" i="3"/>
  <c r="E7" i="3" s="1"/>
  <c r="C6" i="3"/>
  <c r="C7" i="3" l="1"/>
  <c r="D7" i="3"/>
  <c r="A10" i="3"/>
  <c r="B9" i="3"/>
  <c r="E9" i="3" l="1"/>
  <c r="D9" i="3"/>
  <c r="C9" i="3"/>
  <c r="A11" i="3"/>
  <c r="B10" i="3"/>
  <c r="D10" i="3" l="1"/>
  <c r="E10" i="3"/>
  <c r="C10" i="3"/>
  <c r="A12" i="3"/>
  <c r="B11" i="3"/>
  <c r="D11" i="3" l="1"/>
  <c r="C11" i="3"/>
  <c r="E11" i="3"/>
  <c r="A13" i="3"/>
  <c r="B12" i="3"/>
  <c r="A14" i="3" l="1"/>
  <c r="B13" i="3"/>
  <c r="E12" i="3"/>
  <c r="D12" i="3"/>
  <c r="C12" i="3"/>
  <c r="E13" i="3" l="1"/>
  <c r="C13" i="3"/>
  <c r="D13" i="3"/>
  <c r="A15" i="3"/>
  <c r="B14" i="3"/>
  <c r="D14" i="3" l="1"/>
  <c r="E14" i="3"/>
  <c r="C14" i="3"/>
  <c r="A16" i="3"/>
  <c r="B15" i="3"/>
  <c r="D15" i="3" l="1"/>
  <c r="C15" i="3"/>
  <c r="E15" i="3"/>
  <c r="A17" i="3"/>
  <c r="B16" i="3"/>
  <c r="A18" i="3" l="1"/>
  <c r="B17" i="3"/>
  <c r="E16" i="3"/>
  <c r="D16" i="3"/>
  <c r="C16" i="3"/>
  <c r="E17" i="3" l="1"/>
  <c r="D17" i="3"/>
  <c r="C17" i="3"/>
  <c r="A19" i="3"/>
  <c r="B18" i="3"/>
  <c r="A20" i="3" l="1"/>
  <c r="B19" i="3"/>
  <c r="D18" i="3"/>
  <c r="E18" i="3"/>
  <c r="C18" i="3"/>
  <c r="D19" i="3" l="1"/>
  <c r="C19" i="3"/>
  <c r="E19" i="3"/>
  <c r="A21" i="3"/>
  <c r="B20" i="3"/>
  <c r="A22" i="3" l="1"/>
  <c r="B21" i="3"/>
  <c r="E20" i="3"/>
  <c r="D20" i="3"/>
  <c r="C20" i="3"/>
  <c r="C21" i="3" l="1"/>
  <c r="D21" i="3"/>
  <c r="E21" i="3"/>
  <c r="B22" i="3"/>
  <c r="A23" i="3"/>
  <c r="A24" i="3" l="1"/>
  <c r="B23" i="3"/>
  <c r="E22" i="3"/>
  <c r="C22" i="3"/>
  <c r="D22" i="3"/>
  <c r="E23" i="3" l="1"/>
  <c r="C23" i="3"/>
  <c r="D23" i="3"/>
  <c r="A25" i="3"/>
  <c r="B24" i="3"/>
  <c r="A26" i="3" l="1"/>
  <c r="B25" i="3"/>
  <c r="C24" i="3"/>
  <c r="E24" i="3"/>
  <c r="D24" i="3"/>
  <c r="D25" i="3" l="1"/>
  <c r="E25" i="3"/>
  <c r="C25" i="3"/>
  <c r="A27" i="3"/>
  <c r="B26" i="3"/>
  <c r="A28" i="3" l="1"/>
  <c r="B27" i="3"/>
  <c r="C26" i="3"/>
  <c r="E26" i="3"/>
  <c r="D26" i="3"/>
  <c r="C27" i="3" l="1"/>
  <c r="E27" i="3"/>
  <c r="D27" i="3"/>
  <c r="A29" i="3"/>
  <c r="B28" i="3"/>
  <c r="E28" i="3" l="1"/>
  <c r="C28" i="3"/>
  <c r="D28" i="3"/>
  <c r="A30" i="3"/>
  <c r="B29" i="3"/>
  <c r="C29" i="3" l="1"/>
  <c r="D29" i="3"/>
  <c r="E29" i="3"/>
  <c r="A31" i="3"/>
  <c r="B30" i="3"/>
  <c r="D30" i="3" l="1"/>
  <c r="C30" i="3"/>
  <c r="E30" i="3"/>
  <c r="A32" i="3"/>
  <c r="B31" i="3"/>
  <c r="Q55" i="1"/>
  <c r="V49" i="1"/>
  <c r="V48" i="1"/>
  <c r="P54" i="1"/>
  <c r="L54" i="1"/>
  <c r="M54" i="1"/>
  <c r="N54" i="1"/>
  <c r="O54" i="1"/>
  <c r="Q54" i="1"/>
  <c r="R54" i="1"/>
  <c r="S54" i="1"/>
  <c r="T54" i="1"/>
  <c r="J54" i="1"/>
  <c r="K54" i="1"/>
  <c r="I54" i="1"/>
  <c r="Q43" i="1"/>
  <c r="Q44" i="1" s="1"/>
  <c r="S43" i="1"/>
  <c r="S44" i="1" s="1"/>
  <c r="T43" i="1"/>
  <c r="T44" i="1" s="1"/>
  <c r="R43" i="1"/>
  <c r="R44" i="1" s="1"/>
  <c r="F43" i="1"/>
  <c r="L55" i="1"/>
  <c r="C55" i="1"/>
  <c r="I55" i="1"/>
  <c r="E31" i="3" l="1"/>
  <c r="C31" i="3"/>
  <c r="D31" i="3"/>
  <c r="A33" i="3"/>
  <c r="B32" i="3"/>
  <c r="R17" i="1"/>
  <c r="S17" i="1"/>
  <c r="T17" i="1"/>
  <c r="Q17" i="1"/>
  <c r="I17" i="1"/>
  <c r="J17" i="1"/>
  <c r="K17" i="1"/>
  <c r="L17" i="1"/>
  <c r="M17" i="1"/>
  <c r="N17" i="1"/>
  <c r="O17" i="1"/>
  <c r="E17" i="1"/>
  <c r="F17" i="1"/>
  <c r="G17" i="1"/>
  <c r="H17" i="1"/>
  <c r="D17" i="1"/>
  <c r="C17" i="1"/>
  <c r="D2" i="6"/>
  <c r="B8" i="6"/>
  <c r="B10" i="6" s="1"/>
  <c r="C10" i="6" s="1"/>
  <c r="D10" i="6" s="1"/>
  <c r="E10" i="6" s="1"/>
  <c r="B11" i="6" s="1"/>
  <c r="C11" i="6" s="1"/>
  <c r="D11" i="6" s="1"/>
  <c r="E11" i="6" s="1"/>
  <c r="B12" i="6" s="1"/>
  <c r="C12" i="6" s="1"/>
  <c r="D12" i="6" s="1"/>
  <c r="E12" i="6" s="1"/>
  <c r="B13" i="6" s="1"/>
  <c r="H6" i="6"/>
  <c r="H5" i="6"/>
  <c r="L2" i="6"/>
  <c r="K2" i="6"/>
  <c r="I2" i="6"/>
  <c r="H2" i="6"/>
  <c r="G2" i="6"/>
  <c r="AC41" i="1"/>
  <c r="AC40" i="1"/>
  <c r="R29" i="1"/>
  <c r="S29" i="1"/>
  <c r="T29" i="1"/>
  <c r="Q29" i="1"/>
  <c r="R20" i="1"/>
  <c r="R31" i="1" s="1"/>
  <c r="S20" i="1"/>
  <c r="S31" i="1" s="1"/>
  <c r="T20" i="1"/>
  <c r="T21" i="1" s="1"/>
  <c r="T22" i="1" s="1"/>
  <c r="Q20" i="1"/>
  <c r="M20" i="1"/>
  <c r="N20" i="1"/>
  <c r="N31" i="1" s="1"/>
  <c r="O20" i="1"/>
  <c r="M29" i="1"/>
  <c r="N29" i="1"/>
  <c r="O29" i="1"/>
  <c r="M43" i="1"/>
  <c r="M44" i="1" s="1"/>
  <c r="N43" i="1"/>
  <c r="N44" i="1" s="1"/>
  <c r="O43" i="1"/>
  <c r="O44" i="1" s="1"/>
  <c r="L43" i="1"/>
  <c r="L44" i="1" s="1"/>
  <c r="L29" i="1"/>
  <c r="L20" i="1"/>
  <c r="AC42" i="1" l="1"/>
  <c r="D32" i="3"/>
  <c r="C32" i="3"/>
  <c r="E32" i="3"/>
  <c r="A34" i="3"/>
  <c r="B33" i="3"/>
  <c r="S21" i="1"/>
  <c r="S22" i="1" s="1"/>
  <c r="M21" i="1"/>
  <c r="M22" i="1" s="1"/>
  <c r="M23" i="1" s="1"/>
  <c r="M30" i="1" s="1"/>
  <c r="C13" i="6"/>
  <c r="F10" i="6"/>
  <c r="H10" i="6" s="1"/>
  <c r="G10" i="6"/>
  <c r="T31" i="1"/>
  <c r="T32" i="1" s="1"/>
  <c r="T33" i="1" s="1"/>
  <c r="T34" i="1" s="1"/>
  <c r="S32" i="1"/>
  <c r="S33" i="1" s="1"/>
  <c r="R32" i="1"/>
  <c r="R33" i="1" s="1"/>
  <c r="T24" i="1"/>
  <c r="T25" i="1"/>
  <c r="T26" i="1" s="1"/>
  <c r="T23" i="1"/>
  <c r="T30" i="1" s="1"/>
  <c r="R21" i="1"/>
  <c r="O31" i="1"/>
  <c r="O32" i="1" s="1"/>
  <c r="O33" i="1" s="1"/>
  <c r="O21" i="1"/>
  <c r="O22" i="1" s="1"/>
  <c r="O24" i="1" s="1"/>
  <c r="N21" i="1"/>
  <c r="M31" i="1"/>
  <c r="M25" i="1"/>
  <c r="M26" i="1" s="1"/>
  <c r="M24" i="1"/>
  <c r="N32" i="1"/>
  <c r="N33" i="1" s="1"/>
  <c r="L31" i="1"/>
  <c r="E33" i="3" l="1"/>
  <c r="C33" i="3"/>
  <c r="D33" i="3"/>
  <c r="A35" i="3"/>
  <c r="B34" i="3"/>
  <c r="S23" i="1"/>
  <c r="S30" i="1" s="1"/>
  <c r="S25" i="1"/>
  <c r="S26" i="1" s="1"/>
  <c r="S24" i="1"/>
  <c r="M58" i="1"/>
  <c r="F11" i="6"/>
  <c r="I11" i="6" s="1"/>
  <c r="I10" i="6"/>
  <c r="K14" i="6" s="1"/>
  <c r="J25" i="6" s="1"/>
  <c r="G11" i="6"/>
  <c r="L12" i="6" s="1"/>
  <c r="K23" i="6" s="1"/>
  <c r="K12" i="6"/>
  <c r="J23" i="6" s="1"/>
  <c r="C23" i="6"/>
  <c r="C16" i="6"/>
  <c r="D13" i="6"/>
  <c r="K13" i="6"/>
  <c r="J24" i="6" s="1"/>
  <c r="C24" i="6"/>
  <c r="T27" i="1"/>
  <c r="R34" i="1"/>
  <c r="S34" i="1"/>
  <c r="R22" i="1"/>
  <c r="O34" i="1"/>
  <c r="O25" i="1"/>
  <c r="O26" i="1" s="1"/>
  <c r="O23" i="1"/>
  <c r="O30" i="1" s="1"/>
  <c r="N22" i="1"/>
  <c r="M32" i="1"/>
  <c r="M33" i="1" s="1"/>
  <c r="M34" i="1" s="1"/>
  <c r="M27" i="1"/>
  <c r="N34" i="1"/>
  <c r="L32" i="1"/>
  <c r="L33" i="1" s="1"/>
  <c r="C34" i="3" l="1"/>
  <c r="D34" i="3"/>
  <c r="E34" i="3"/>
  <c r="A36" i="3"/>
  <c r="B36" i="3" s="1"/>
  <c r="B35" i="3"/>
  <c r="S27" i="1"/>
  <c r="M60" i="1"/>
  <c r="M61" i="1" s="1"/>
  <c r="M62" i="1" s="1"/>
  <c r="M59" i="1"/>
  <c r="O27" i="1"/>
  <c r="L14" i="6"/>
  <c r="K25" i="6" s="1"/>
  <c r="D25" i="6"/>
  <c r="C25" i="6"/>
  <c r="D23" i="6"/>
  <c r="H11" i="6"/>
  <c r="F12" i="6"/>
  <c r="F13" i="6" s="1"/>
  <c r="G13" i="6" s="1"/>
  <c r="E13" i="6"/>
  <c r="B14" i="6" s="1"/>
  <c r="R24" i="1"/>
  <c r="R23" i="1"/>
  <c r="R30" i="1" s="1"/>
  <c r="R25" i="1"/>
  <c r="R26" i="1" s="1"/>
  <c r="N23" i="1"/>
  <c r="N30" i="1" s="1"/>
  <c r="N24" i="1"/>
  <c r="N25" i="1"/>
  <c r="N26" i="1" s="1"/>
  <c r="L34" i="1"/>
  <c r="E35" i="3" l="1"/>
  <c r="D35" i="3"/>
  <c r="C35" i="3"/>
  <c r="D36" i="3"/>
  <c r="C36" i="3"/>
  <c r="E36" i="3"/>
  <c r="R27" i="1"/>
  <c r="R42" i="1"/>
  <c r="N41" i="1"/>
  <c r="H12" i="6"/>
  <c r="I12" i="6"/>
  <c r="G12" i="6"/>
  <c r="L13" i="6"/>
  <c r="K24" i="6" s="1"/>
  <c r="D24" i="6"/>
  <c r="F23" i="6"/>
  <c r="N12" i="6"/>
  <c r="M23" i="6" s="1"/>
  <c r="H13" i="6"/>
  <c r="I13" i="6"/>
  <c r="C14" i="6"/>
  <c r="N27" i="1"/>
  <c r="D54" i="1"/>
  <c r="E54" i="1"/>
  <c r="F54" i="1"/>
  <c r="G54" i="1"/>
  <c r="H54" i="1"/>
  <c r="C54" i="1"/>
  <c r="F44" i="1"/>
  <c r="F50" i="1" s="1"/>
  <c r="G43" i="1"/>
  <c r="G44" i="1" s="1"/>
  <c r="G50" i="1" s="1"/>
  <c r="C43" i="1"/>
  <c r="C44" i="1" s="1"/>
  <c r="H8" i="1"/>
  <c r="N42" i="1" s="1"/>
  <c r="C8" i="1"/>
  <c r="G20" i="1"/>
  <c r="G29" i="1"/>
  <c r="F20" i="1"/>
  <c r="F31" i="1" s="1"/>
  <c r="H20" i="1"/>
  <c r="H31" i="1" s="1"/>
  <c r="F29" i="1"/>
  <c r="H29" i="1"/>
  <c r="D29" i="1"/>
  <c r="E29" i="1"/>
  <c r="C29" i="1"/>
  <c r="D20" i="1"/>
  <c r="E20" i="1"/>
  <c r="C20" i="1"/>
  <c r="J12" i="1"/>
  <c r="Q31" i="1"/>
  <c r="F36" i="1" l="1"/>
  <c r="J36" i="1"/>
  <c r="K36" i="1"/>
  <c r="S36" i="1"/>
  <c r="S37" i="1" s="1"/>
  <c r="S38" i="1" s="1"/>
  <c r="S39" i="1" s="1"/>
  <c r="S40" i="1" s="1"/>
  <c r="O36" i="1"/>
  <c r="O37" i="1" s="1"/>
  <c r="O38" i="1" s="1"/>
  <c r="O39" i="1" s="1"/>
  <c r="O40" i="1" s="1"/>
  <c r="M36" i="1"/>
  <c r="M37" i="1" s="1"/>
  <c r="M38" i="1" s="1"/>
  <c r="M39" i="1" s="1"/>
  <c r="M40" i="1" s="1"/>
  <c r="I36" i="1"/>
  <c r="R36" i="1"/>
  <c r="R37" i="1" s="1"/>
  <c r="R38" i="1" s="1"/>
  <c r="R39" i="1" s="1"/>
  <c r="R40" i="1" s="1"/>
  <c r="N36" i="1"/>
  <c r="N37" i="1" s="1"/>
  <c r="N38" i="1" s="1"/>
  <c r="N39" i="1" s="1"/>
  <c r="N40" i="1" s="1"/>
  <c r="T36" i="1"/>
  <c r="T37" i="1" s="1"/>
  <c r="T38" i="1" s="1"/>
  <c r="T39" i="1" s="1"/>
  <c r="T40" i="1" s="1"/>
  <c r="Q36" i="1"/>
  <c r="L36" i="1"/>
  <c r="L37" i="1" s="1"/>
  <c r="L38" i="1" s="1"/>
  <c r="L39" i="1" s="1"/>
  <c r="L40" i="1" s="1"/>
  <c r="V54" i="1"/>
  <c r="T41" i="1"/>
  <c r="T42" i="1"/>
  <c r="M41" i="1"/>
  <c r="M42" i="1"/>
  <c r="S42" i="1"/>
  <c r="O42" i="1"/>
  <c r="S41" i="1"/>
  <c r="O41" i="1"/>
  <c r="R41" i="1"/>
  <c r="M12" i="6"/>
  <c r="L23" i="6" s="1"/>
  <c r="E23" i="6"/>
  <c r="E25" i="6"/>
  <c r="M14" i="6"/>
  <c r="L25" i="6" s="1"/>
  <c r="E24" i="6"/>
  <c r="M13" i="6"/>
  <c r="L24" i="6" s="1"/>
  <c r="N13" i="6"/>
  <c r="M24" i="6" s="1"/>
  <c r="F24" i="6"/>
  <c r="C17" i="6"/>
  <c r="D14" i="6"/>
  <c r="C18" i="6"/>
  <c r="N14" i="6"/>
  <c r="M25" i="6" s="1"/>
  <c r="F25" i="6"/>
  <c r="Q32" i="1"/>
  <c r="Q33" i="1" s="1"/>
  <c r="Q34" i="1" s="1"/>
  <c r="E36" i="1"/>
  <c r="H36" i="1"/>
  <c r="D36" i="1"/>
  <c r="G36" i="1"/>
  <c r="G31" i="1"/>
  <c r="G21" i="1"/>
  <c r="F21" i="1"/>
  <c r="F22" i="1" s="1"/>
  <c r="F23" i="1" s="1"/>
  <c r="F30" i="1" s="1"/>
  <c r="H21" i="1"/>
  <c r="H22" i="1" s="1"/>
  <c r="H24" i="1" s="1"/>
  <c r="H32" i="1"/>
  <c r="H33" i="1" s="1"/>
  <c r="H34" i="1" s="1"/>
  <c r="F32" i="1"/>
  <c r="F33" i="1" s="1"/>
  <c r="F34" i="1" s="1"/>
  <c r="Q21" i="1"/>
  <c r="S50" i="1"/>
  <c r="T50" i="1"/>
  <c r="R50" i="1"/>
  <c r="E14" i="6" l="1"/>
  <c r="F14" i="6"/>
  <c r="L21" i="1"/>
  <c r="L22" i="1" s="1"/>
  <c r="F25" i="1"/>
  <c r="F26" i="1" s="1"/>
  <c r="F24" i="1"/>
  <c r="G32" i="1"/>
  <c r="G33" i="1" s="1"/>
  <c r="G34" i="1" s="1"/>
  <c r="H23" i="1"/>
  <c r="H30" i="1" s="1"/>
  <c r="G22" i="1"/>
  <c r="H25" i="1"/>
  <c r="H26" i="1" s="1"/>
  <c r="Q22" i="1"/>
  <c r="Q25" i="1" s="1"/>
  <c r="Q26" i="1" s="1"/>
  <c r="E31" i="1"/>
  <c r="E12" i="1"/>
  <c r="C12" i="1" s="1"/>
  <c r="C11" i="1"/>
  <c r="C31" i="1"/>
  <c r="O50" i="1"/>
  <c r="M50" i="1"/>
  <c r="L50" i="1"/>
  <c r="K43" i="1"/>
  <c r="J43" i="1"/>
  <c r="J44" i="1" s="1"/>
  <c r="J50" i="1" s="1"/>
  <c r="I43" i="1"/>
  <c r="E43" i="1"/>
  <c r="D43" i="1"/>
  <c r="D44" i="1" s="1"/>
  <c r="C50" i="1"/>
  <c r="P27" i="1"/>
  <c r="C36" i="1"/>
  <c r="C4" i="1"/>
  <c r="Q41" i="1" l="1"/>
  <c r="Q42" i="1"/>
  <c r="H14" i="6"/>
  <c r="I14" i="6"/>
  <c r="G14" i="6"/>
  <c r="L24" i="1"/>
  <c r="L23" i="1"/>
  <c r="L30" i="1" s="1"/>
  <c r="L25" i="1"/>
  <c r="E44" i="1"/>
  <c r="E50" i="1" s="1"/>
  <c r="F42" i="1"/>
  <c r="F41" i="1"/>
  <c r="H41" i="1"/>
  <c r="H42" i="1"/>
  <c r="H27" i="1"/>
  <c r="G37" i="1"/>
  <c r="G38" i="1" s="1"/>
  <c r="G39" i="1" s="1"/>
  <c r="G40" i="1" s="1"/>
  <c r="H37" i="1"/>
  <c r="H38" i="1" s="1"/>
  <c r="H39" i="1" s="1"/>
  <c r="H40" i="1" s="1"/>
  <c r="F37" i="1"/>
  <c r="F38" i="1" s="1"/>
  <c r="F39" i="1" s="1"/>
  <c r="F40" i="1" s="1"/>
  <c r="F27" i="1"/>
  <c r="G24" i="1"/>
  <c r="G23" i="1"/>
  <c r="G30" i="1" s="1"/>
  <c r="G25" i="1"/>
  <c r="G26" i="1" s="1"/>
  <c r="C32" i="1"/>
  <c r="C33" i="1" s="1"/>
  <c r="C34" i="1" s="1"/>
  <c r="E32" i="1"/>
  <c r="E33" i="1" s="1"/>
  <c r="E34" i="1" s="1"/>
  <c r="I29" i="1"/>
  <c r="I20" i="1"/>
  <c r="S52" i="1"/>
  <c r="Q37" i="1"/>
  <c r="Q27" i="1"/>
  <c r="Q24" i="1"/>
  <c r="Q23" i="1"/>
  <c r="Q30" i="1" s="1"/>
  <c r="T52" i="1"/>
  <c r="L52" i="1"/>
  <c r="L53" i="1" s="1"/>
  <c r="M52" i="1"/>
  <c r="M53" i="1" s="1"/>
  <c r="O52" i="1"/>
  <c r="O53" i="1" s="1"/>
  <c r="J37" i="1"/>
  <c r="E37" i="1"/>
  <c r="E38" i="1" s="1"/>
  <c r="I37" i="1"/>
  <c r="C37" i="1"/>
  <c r="C38" i="1" s="1"/>
  <c r="D37" i="1"/>
  <c r="K37" i="1"/>
  <c r="D50" i="1"/>
  <c r="K44" i="1"/>
  <c r="K50" i="1" s="1"/>
  <c r="E21" i="1"/>
  <c r="E22" i="1" s="1"/>
  <c r="I44" i="1"/>
  <c r="I50" i="1" s="1"/>
  <c r="N50" i="1"/>
  <c r="D21" i="1"/>
  <c r="D52" i="1" s="1"/>
  <c r="D53" i="1" s="1"/>
  <c r="D31" i="1"/>
  <c r="K19" i="1"/>
  <c r="N52" i="1"/>
  <c r="N53" i="1" s="1"/>
  <c r="L26" i="1" l="1"/>
  <c r="L27" i="1" s="1"/>
  <c r="L58" i="1"/>
  <c r="G23" i="6"/>
  <c r="O12" i="6"/>
  <c r="N23" i="6" s="1"/>
  <c r="O14" i="6"/>
  <c r="N25" i="6" s="1"/>
  <c r="G25" i="6"/>
  <c r="O13" i="6"/>
  <c r="N24" i="6" s="1"/>
  <c r="G24" i="6"/>
  <c r="Q38" i="1"/>
  <c r="Q39" i="1" s="1"/>
  <c r="Q40" i="1" s="1"/>
  <c r="G42" i="1"/>
  <c r="G41" i="1"/>
  <c r="D32" i="1"/>
  <c r="D33" i="1" s="1"/>
  <c r="D38" i="1"/>
  <c r="D39" i="1" s="1"/>
  <c r="E39" i="1"/>
  <c r="E40" i="1" s="1"/>
  <c r="G27" i="1"/>
  <c r="C39" i="1"/>
  <c r="C40" i="1" s="1"/>
  <c r="K20" i="1"/>
  <c r="K21" i="1" s="1"/>
  <c r="K22" i="1" s="1"/>
  <c r="K24" i="1" s="1"/>
  <c r="K29" i="1"/>
  <c r="J29" i="1"/>
  <c r="J20" i="1"/>
  <c r="D22" i="1"/>
  <c r="D24" i="1" s="1"/>
  <c r="R52" i="1"/>
  <c r="E52" i="1"/>
  <c r="E53" i="1" s="1"/>
  <c r="E23" i="1"/>
  <c r="E30" i="1" s="1"/>
  <c r="E24" i="1"/>
  <c r="C21" i="1"/>
  <c r="I31" i="1"/>
  <c r="I38" i="1" s="1"/>
  <c r="I39" i="1" s="1"/>
  <c r="I21" i="1"/>
  <c r="I52" i="1" s="1"/>
  <c r="I53" i="1" s="1"/>
  <c r="E25" i="1"/>
  <c r="E58" i="1" s="1"/>
  <c r="L59" i="1" l="1"/>
  <c r="L60" i="1"/>
  <c r="L61" i="1" s="1"/>
  <c r="L62" i="1" s="1"/>
  <c r="L42" i="1"/>
  <c r="L41" i="1"/>
  <c r="E60" i="1"/>
  <c r="E61" i="1" s="1"/>
  <c r="E62" i="1" s="1"/>
  <c r="C22" i="1"/>
  <c r="C23" i="1" s="1"/>
  <c r="C30" i="1" s="1"/>
  <c r="C52" i="1"/>
  <c r="C53" i="1" s="1"/>
  <c r="J31" i="1"/>
  <c r="J38" i="1" s="1"/>
  <c r="J39" i="1" s="1"/>
  <c r="I32" i="1"/>
  <c r="J21" i="1"/>
  <c r="J22" i="1" s="1"/>
  <c r="J25" i="1" s="1"/>
  <c r="D25" i="1"/>
  <c r="D23" i="1"/>
  <c r="D30" i="1" s="1"/>
  <c r="I22" i="1"/>
  <c r="I25" i="1" s="1"/>
  <c r="I26" i="1" s="1"/>
  <c r="D34" i="1"/>
  <c r="D40" i="1"/>
  <c r="E26" i="1"/>
  <c r="E59" i="1" s="1"/>
  <c r="K52" i="1"/>
  <c r="K53" i="1" s="1"/>
  <c r="K31" i="1"/>
  <c r="K32" i="1" s="1"/>
  <c r="K23" i="1"/>
  <c r="K30" i="1" s="1"/>
  <c r="K25" i="1"/>
  <c r="K38" i="1" l="1"/>
  <c r="K39" i="1" s="1"/>
  <c r="I33" i="1"/>
  <c r="I34" i="1" s="1"/>
  <c r="K26" i="1"/>
  <c r="K27" i="1" s="1"/>
  <c r="K58" i="1"/>
  <c r="J26" i="1"/>
  <c r="J27" i="1" s="1"/>
  <c r="J58" i="1"/>
  <c r="J60" i="1" s="1"/>
  <c r="J61" i="1" s="1"/>
  <c r="I41" i="1"/>
  <c r="I42" i="1"/>
  <c r="D26" i="1"/>
  <c r="D41" i="1" s="1"/>
  <c r="D58" i="1"/>
  <c r="D60" i="1" s="1"/>
  <c r="D61" i="1" s="1"/>
  <c r="C24" i="1"/>
  <c r="C25" i="1"/>
  <c r="C26" i="1" s="1"/>
  <c r="H43" i="1" s="1"/>
  <c r="H44" i="1" s="1"/>
  <c r="H50" i="1" s="1"/>
  <c r="J32" i="1"/>
  <c r="J33" i="1" s="1"/>
  <c r="J40" i="1" s="1"/>
  <c r="D42" i="1"/>
  <c r="E42" i="1"/>
  <c r="E41" i="1"/>
  <c r="J52" i="1"/>
  <c r="J53" i="1" s="1"/>
  <c r="I27" i="1"/>
  <c r="D27" i="1"/>
  <c r="K33" i="1"/>
  <c r="E27" i="1"/>
  <c r="J24" i="1"/>
  <c r="J23" i="1"/>
  <c r="J30" i="1" s="1"/>
  <c r="I24" i="1"/>
  <c r="I23" i="1"/>
  <c r="I30" i="1" s="1"/>
  <c r="I40" i="1" l="1"/>
  <c r="K40" i="1"/>
  <c r="J34" i="1"/>
  <c r="J41" i="1"/>
  <c r="J42" i="1"/>
  <c r="J62" i="1"/>
  <c r="K60" i="1"/>
  <c r="K61" i="1" s="1"/>
  <c r="K62" i="1" s="1"/>
  <c r="K59" i="1"/>
  <c r="K42" i="1"/>
  <c r="K41" i="1"/>
  <c r="D62" i="1"/>
  <c r="D59" i="1"/>
  <c r="C42" i="1"/>
  <c r="C41" i="1"/>
  <c r="C27" i="1"/>
  <c r="J59" i="1"/>
  <c r="K34" i="1"/>
</calcChain>
</file>

<file path=xl/sharedStrings.xml><?xml version="1.0" encoding="utf-8"?>
<sst xmlns="http://schemas.openxmlformats.org/spreadsheetml/2006/main" count="288" uniqueCount="201">
  <si>
    <t>Q2</t>
  </si>
  <si>
    <t>xBj</t>
  </si>
  <si>
    <t>MProton</t>
  </si>
  <si>
    <t>nu</t>
  </si>
  <si>
    <t>kScatt</t>
  </si>
  <si>
    <t>csThe</t>
  </si>
  <si>
    <t>kBeam</t>
  </si>
  <si>
    <t>epsilon</t>
  </si>
  <si>
    <t>the</t>
  </si>
  <si>
    <t>snThq</t>
  </si>
  <si>
    <t>pMin</t>
  </si>
  <si>
    <t>Thq</t>
  </si>
  <si>
    <t>1./(1.-eps)</t>
  </si>
  <si>
    <t>qvec</t>
  </si>
  <si>
    <t>q'</t>
  </si>
  <si>
    <t>tmin</t>
  </si>
  <si>
    <t>sqrt(tmin)</t>
  </si>
  <si>
    <t>CaloDist</t>
  </si>
  <si>
    <t>Calo_A</t>
  </si>
  <si>
    <t>m^2</t>
  </si>
  <si>
    <t>Calo_C</t>
  </si>
  <si>
    <t>DVCS Kinematics</t>
  </si>
  <si>
    <t>DOmega</t>
  </si>
  <si>
    <t>(GeV)</t>
  </si>
  <si>
    <t>(GeV^2)</t>
  </si>
  <si>
    <t>(deg)</t>
  </si>
  <si>
    <t>(GeV/c)</t>
  </si>
  <si>
    <t>Lumi</t>
  </si>
  <si>
    <t>Crystals</t>
  </si>
  <si>
    <t>2x2 cm^2</t>
  </si>
  <si>
    <t>3x3 cm^2</t>
  </si>
  <si>
    <t>Th_gg_max</t>
  </si>
  <si>
    <t>q'_min</t>
  </si>
  <si>
    <t>tmax</t>
  </si>
  <si>
    <t>tmin-tmax</t>
  </si>
  <si>
    <t>d4sig(0deg)</t>
  </si>
  <si>
    <t>d4sig(180)</t>
  </si>
  <si>
    <t>Jacob_e</t>
  </si>
  <si>
    <t>208-54'</t>
  </si>
  <si>
    <t>deg</t>
  </si>
  <si>
    <t>Th_calo_edge</t>
  </si>
  <si>
    <t>HRS_Acc</t>
  </si>
  <si>
    <t>sr</t>
  </si>
  <si>
    <t>HRS_ddelta</t>
  </si>
  <si>
    <t>(kMax-kMin)/k0</t>
  </si>
  <si>
    <t>HMS_Acc</t>
  </si>
  <si>
    <t>HMS_ddelta</t>
  </si>
  <si>
    <t>DeltaT</t>
  </si>
  <si>
    <t>GeV^2</t>
  </si>
  <si>
    <t>nbarn</t>
  </si>
  <si>
    <t>cm^2/nb</t>
  </si>
  <si>
    <t>counts in DeltaT bin</t>
  </si>
  <si>
    <t>Total Beam Time</t>
  </si>
  <si>
    <t>GeV</t>
  </si>
  <si>
    <t>5 Pass</t>
  </si>
  <si>
    <t>2 days</t>
  </si>
  <si>
    <t>2 Pass</t>
  </si>
  <si>
    <t>1 week</t>
  </si>
  <si>
    <t>4 pass</t>
  </si>
  <si>
    <t>3 weeks</t>
  </si>
  <si>
    <t>5 pass</t>
  </si>
  <si>
    <t>2 pass</t>
  </si>
  <si>
    <t>DVCS</t>
  </si>
  <si>
    <t>9 weeks</t>
  </si>
  <si>
    <t>5 weeks</t>
  </si>
  <si>
    <t>Amp</t>
  </si>
  <si>
    <t>Pass</t>
  </si>
  <si>
    <t>Injector</t>
  </si>
  <si>
    <t>Injector energy scales with linac</t>
  </si>
  <si>
    <t>Linac</t>
  </si>
  <si>
    <t>(m)</t>
  </si>
  <si>
    <t>(sr)</t>
  </si>
  <si>
    <t>(rad)</t>
  </si>
  <si>
    <t>/cm^2/s</t>
  </si>
  <si>
    <t>Q1 Limit</t>
  </si>
  <si>
    <t>Name</t>
  </si>
  <si>
    <t>Beam Current</t>
  </si>
  <si>
    <t>(muAmp)</t>
  </si>
  <si>
    <t>Charge</t>
  </si>
  <si>
    <t>Coulomb</t>
  </si>
  <si>
    <t>muAmp</t>
  </si>
  <si>
    <t>GeV/c</t>
  </si>
  <si>
    <t>Calo_1stCol</t>
  </si>
  <si>
    <t>k'_Elastic</t>
  </si>
  <si>
    <t>Q2_Elastic</t>
  </si>
  <si>
    <t>Ep_Elastic</t>
  </si>
  <si>
    <t>Pp_Elastic</t>
  </si>
  <si>
    <t>Thp_Elastic</t>
  </si>
  <si>
    <t>HMS Max</t>
  </si>
  <si>
    <t>7.5 GeV</t>
  </si>
  <si>
    <t>InjectorFY23</t>
  </si>
  <si>
    <t>LinacFY23</t>
  </si>
  <si>
    <t>CrossCheck</t>
  </si>
  <si>
    <t>Hall C</t>
  </si>
  <si>
    <t>xBj=0.36</t>
  </si>
  <si>
    <t>q' Max</t>
  </si>
  <si>
    <t>KinC_x36_1</t>
  </si>
  <si>
    <t>KinC_x36_2</t>
  </si>
  <si>
    <t>KinC_x36_3</t>
  </si>
  <si>
    <t>KinC_x36_4</t>
  </si>
  <si>
    <t>KinC_x36_5</t>
  </si>
  <si>
    <t>xBj=0.50</t>
  </si>
  <si>
    <t>KinC_x50_1</t>
  </si>
  <si>
    <t>KinC_x50_2</t>
  </si>
  <si>
    <t>KinC_x50_3</t>
  </si>
  <si>
    <t>H-Days</t>
  </si>
  <si>
    <t>D-Days</t>
  </si>
  <si>
    <t>36x30'</t>
  </si>
  <si>
    <t>dx_Calo</t>
  </si>
  <si>
    <t xml:space="preserve"> PAC</t>
  </si>
  <si>
    <t>PAC</t>
  </si>
  <si>
    <t>&lt;t&gt;</t>
  </si>
  <si>
    <t>GeV2</t>
  </si>
  <si>
    <t>xBj=0.60</t>
  </si>
  <si>
    <t>KinC_x60_1</t>
  </si>
  <si>
    <t>KinC_x60_2</t>
  </si>
  <si>
    <t>KinC_x60_3</t>
  </si>
  <si>
    <t>central angle</t>
  </si>
  <si>
    <t>6-23 deg</t>
  </si>
  <si>
    <t>Low-xBj</t>
  </si>
  <si>
    <t>Calo Size</t>
  </si>
  <si>
    <t>Max Beam</t>
  </si>
  <si>
    <t>SHMS</t>
  </si>
  <si>
    <t>nA</t>
  </si>
  <si>
    <t>nB</t>
  </si>
  <si>
    <t>nC</t>
  </si>
  <si>
    <t>inj</t>
  </si>
  <si>
    <t>linac1</t>
  </si>
  <si>
    <t>linac2</t>
  </si>
  <si>
    <t>wien rot.</t>
  </si>
  <si>
    <t>arc theta</t>
  </si>
  <si>
    <t>halla theta</t>
  </si>
  <si>
    <t>hallb theta</t>
  </si>
  <si>
    <t>hallc theta</t>
  </si>
  <si>
    <t>(g-2)/2m_e</t>
  </si>
  <si>
    <t>g</t>
  </si>
  <si>
    <t>Jay Benesh</t>
  </si>
  <si>
    <t>Yves Roblin</t>
  </si>
  <si>
    <t xml:space="preserve"> </t>
  </si>
  <si>
    <t>arc</t>
  </si>
  <si>
    <t>hla</t>
  </si>
  <si>
    <t>hlb</t>
  </si>
  <si>
    <t>hlc</t>
  </si>
  <si>
    <t>Spreadsheet</t>
  </si>
  <si>
    <t>with flipper</t>
  </si>
  <si>
    <t>wien</t>
  </si>
  <si>
    <t>spin left</t>
  </si>
  <si>
    <t>spin right</t>
  </si>
  <si>
    <t>sync rad on</t>
  </si>
  <si>
    <t>inj+NL</t>
  </si>
  <si>
    <t>n</t>
  </si>
  <si>
    <t>east arc</t>
  </si>
  <si>
    <t>end SL</t>
  </si>
  <si>
    <t>west arc</t>
  </si>
  <si>
    <t>end NL</t>
  </si>
  <si>
    <t>sum spin</t>
  </si>
  <si>
    <t>A</t>
  </si>
  <si>
    <t>B</t>
  </si>
  <si>
    <t>C</t>
  </si>
  <si>
    <t>precessions</t>
  </si>
  <si>
    <t>HALLA</t>
  </si>
  <si>
    <t>HALLB</t>
  </si>
  <si>
    <t>HALLC</t>
  </si>
  <si>
    <t>Hall A</t>
  </si>
  <si>
    <t>Hall B</t>
  </si>
  <si>
    <t>wien required</t>
  </si>
  <si>
    <t>P^2 matrix</t>
  </si>
  <si>
    <t>ha2</t>
  </si>
  <si>
    <t>ha3</t>
  </si>
  <si>
    <t>ha4</t>
  </si>
  <si>
    <t>H Days</t>
  </si>
  <si>
    <t>D Days</t>
  </si>
  <si>
    <t>Max</t>
  </si>
  <si>
    <t>PAC Days</t>
  </si>
  <si>
    <t>LH2+LD2</t>
  </si>
  <si>
    <t>Total H</t>
  </si>
  <si>
    <t>Total D</t>
  </si>
  <si>
    <t>HMS Nominal Momentum</t>
  </si>
  <si>
    <t>nb/GeV^4</t>
  </si>
  <si>
    <t>Total PAC</t>
  </si>
  <si>
    <t>KinC_x25_1</t>
  </si>
  <si>
    <t>KinC_x25_2</t>
  </si>
  <si>
    <t>KinC_x25_3</t>
  </si>
  <si>
    <t>KinC_x25_4</t>
  </si>
  <si>
    <t>Corrected for Synchroton losses</t>
  </si>
  <si>
    <t>HMS Central Angle</t>
  </si>
  <si>
    <t>CaloCental Angle</t>
  </si>
  <si>
    <t>SHMS Carriage</t>
  </si>
  <si>
    <t>DVCS-NPS 2023 Kinematics,     Full Energy CEBAF                        (v.0) May 2023.                           C.Hyde</t>
  </si>
  <si>
    <t>HMS Min</t>
  </si>
  <si>
    <t>Elastic Kinematics for HMS optics calibration</t>
  </si>
  <si>
    <t>theta_e</t>
  </si>
  <si>
    <t>rad</t>
  </si>
  <si>
    <t>dth</t>
  </si>
  <si>
    <t>HMS Energies</t>
  </si>
  <si>
    <t>HMS theta</t>
  </si>
  <si>
    <t>HMS csth</t>
  </si>
  <si>
    <t>|SHMS|+|HMS|</t>
  </si>
  <si>
    <t>the (HMS)</t>
  </si>
  <si>
    <t>th_e+th_q</t>
  </si>
  <si>
    <t>Min Allowed 23.5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</si>
</sst>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E+00"/>
    <numFmt numFmtId="165" formatCode="0.000"/>
    <numFmt numFmtId="166" formatCode="0.0"/>
    <numFmt numFmtId="167" formatCode="0.000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60EBFB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2"/>
      <color rgb="FF3F3F3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2E7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893E9"/>
        <bgColor indexed="64"/>
      </patternFill>
    </fill>
    <fill>
      <patternFill patternType="solid">
        <fgColor rgb="FF64EDEC"/>
        <bgColor indexed="64"/>
      </patternFill>
    </fill>
    <fill>
      <patternFill patternType="solid">
        <fgColor rgb="FFFFC280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26" applyNumberFormat="0" applyAlignment="0" applyProtection="0"/>
    <xf numFmtId="0" fontId="8" fillId="9" borderId="27" applyNumberFormat="0" applyAlignment="0" applyProtection="0"/>
    <xf numFmtId="0" fontId="6" fillId="10" borderId="0" applyNumberFormat="0" applyBorder="0" applyAlignment="0" applyProtection="0"/>
  </cellStyleXfs>
  <cellXfs count="165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11" fontId="0" fillId="0" borderId="0" xfId="0" applyNumberFormat="1"/>
    <xf numFmtId="0" fontId="0" fillId="0" borderId="3" xfId="0" applyBorder="1"/>
    <xf numFmtId="0" fontId="0" fillId="0" borderId="5" xfId="0" applyBorder="1"/>
    <xf numFmtId="11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1" fontId="0" fillId="0" borderId="2" xfId="0" applyNumberFormat="1" applyBorder="1"/>
    <xf numFmtId="2" fontId="0" fillId="0" borderId="2" xfId="0" applyNumberFormat="1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1" fillId="0" borderId="5" xfId="0" applyFont="1" applyBorder="1"/>
    <xf numFmtId="0" fontId="0" fillId="0" borderId="0" xfId="0" quotePrefix="1"/>
    <xf numFmtId="0" fontId="0" fillId="0" borderId="6" xfId="0" applyBorder="1"/>
    <xf numFmtId="11" fontId="0" fillId="0" borderId="7" xfId="0" applyNumberFormat="1" applyBorder="1"/>
    <xf numFmtId="2" fontId="0" fillId="0" borderId="7" xfId="0" applyNumberFormat="1" applyBorder="1"/>
    <xf numFmtId="11" fontId="0" fillId="0" borderId="4" xfId="0" applyNumberFormat="1" applyBorder="1"/>
    <xf numFmtId="2" fontId="0" fillId="2" borderId="11" xfId="0" applyNumberFormat="1" applyFill="1" applyBorder="1"/>
    <xf numFmtId="2" fontId="0" fillId="2" borderId="12" xfId="0" applyNumberFormat="1" applyFill="1" applyBorder="1"/>
    <xf numFmtId="11" fontId="0" fillId="2" borderId="12" xfId="0" applyNumberFormat="1" applyFill="1" applyBorder="1"/>
    <xf numFmtId="2" fontId="0" fillId="2" borderId="14" xfId="0" applyNumberFormat="1" applyFill="1" applyBorder="1"/>
    <xf numFmtId="11" fontId="0" fillId="2" borderId="16" xfId="0" applyNumberFormat="1" applyFill="1" applyBorder="1"/>
    <xf numFmtId="2" fontId="0" fillId="0" borderId="4" xfId="0" applyNumberFormat="1" applyBorder="1"/>
    <xf numFmtId="2" fontId="0" fillId="0" borderId="5" xfId="0" applyNumberFormat="1" applyBorder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0" xfId="0" applyNumberFormat="1" applyFont="1"/>
    <xf numFmtId="164" fontId="1" fillId="0" borderId="21" xfId="0" applyNumberFormat="1" applyFont="1" applyBorder="1"/>
    <xf numFmtId="0" fontId="1" fillId="0" borderId="4" xfId="0" applyFont="1" applyBorder="1"/>
    <xf numFmtId="0" fontId="1" fillId="0" borderId="9" xfId="0" applyFont="1" applyBorder="1"/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0" fillId="0" borderId="0" xfId="0" applyNumberFormat="1"/>
    <xf numFmtId="165" fontId="0" fillId="2" borderId="10" xfId="0" applyNumberFormat="1" applyFill="1" applyBorder="1"/>
    <xf numFmtId="165" fontId="0" fillId="2" borderId="12" xfId="0" applyNumberFormat="1" applyFill="1" applyBorder="1"/>
    <xf numFmtId="165" fontId="1" fillId="2" borderId="11" xfId="0" applyNumberFormat="1" applyFont="1" applyFill="1" applyBorder="1"/>
    <xf numFmtId="165" fontId="1" fillId="2" borderId="12" xfId="0" applyNumberFormat="1" applyFont="1" applyFill="1" applyBorder="1"/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6" fontId="0" fillId="2" borderId="14" xfId="0" applyNumberFormat="1" applyFill="1" applyBorder="1"/>
    <xf numFmtId="11" fontId="1" fillId="0" borderId="4" xfId="0" applyNumberFormat="1" applyFont="1" applyBorder="1"/>
    <xf numFmtId="11" fontId="1" fillId="0" borderId="5" xfId="0" applyNumberFormat="1" applyFont="1" applyBorder="1"/>
    <xf numFmtId="11" fontId="1" fillId="0" borderId="9" xfId="0" applyNumberFormat="1" applyFont="1" applyBorder="1"/>
    <xf numFmtId="11" fontId="1" fillId="0" borderId="0" xfId="0" applyNumberFormat="1" applyFont="1"/>
    <xf numFmtId="0" fontId="1" fillId="2" borderId="12" xfId="0" applyFont="1" applyFill="1" applyBorder="1"/>
    <xf numFmtId="165" fontId="0" fillId="4" borderId="10" xfId="0" applyNumberFormat="1" applyFill="1" applyBorder="1"/>
    <xf numFmtId="165" fontId="0" fillId="4" borderId="11" xfId="0" applyNumberFormat="1" applyFill="1" applyBorder="1"/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9" fontId="0" fillId="0" borderId="0" xfId="0" applyNumberFormat="1"/>
    <xf numFmtId="0" fontId="1" fillId="0" borderId="20" xfId="0" applyFont="1" applyBorder="1"/>
    <xf numFmtId="0" fontId="1" fillId="0" borderId="1" xfId="0" applyFont="1" applyBorder="1"/>
    <xf numFmtId="2" fontId="1" fillId="0" borderId="9" xfId="0" applyNumberFormat="1" applyFont="1" applyBorder="1"/>
    <xf numFmtId="2" fontId="1" fillId="0" borderId="24" xfId="0" applyNumberFormat="1" applyFont="1" applyBorder="1" applyAlignment="1">
      <alignment horizontal="center"/>
    </xf>
    <xf numFmtId="165" fontId="0" fillId="2" borderId="11" xfId="0" applyNumberFormat="1" applyFill="1" applyBorder="1"/>
    <xf numFmtId="11" fontId="0" fillId="2" borderId="11" xfId="0" applyNumberFormat="1" applyFill="1" applyBorder="1"/>
    <xf numFmtId="166" fontId="1" fillId="2" borderId="11" xfId="0" applyNumberFormat="1" applyFont="1" applyFill="1" applyBorder="1"/>
    <xf numFmtId="2" fontId="1" fillId="2" borderId="11" xfId="0" applyNumberFormat="1" applyFont="1" applyFill="1" applyBorder="1"/>
    <xf numFmtId="166" fontId="0" fillId="2" borderId="13" xfId="0" applyNumberFormat="1" applyFill="1" applyBorder="1"/>
    <xf numFmtId="2" fontId="0" fillId="2" borderId="13" xfId="0" applyNumberFormat="1" applyFill="1" applyBorder="1"/>
    <xf numFmtId="11" fontId="0" fillId="2" borderId="15" xfId="0" applyNumberFormat="1" applyFill="1" applyBorder="1"/>
    <xf numFmtId="49" fontId="0" fillId="0" borderId="4" xfId="0" applyNumberFormat="1" applyBorder="1"/>
    <xf numFmtId="49" fontId="0" fillId="0" borderId="5" xfId="0" applyNumberFormat="1" applyBorder="1"/>
    <xf numFmtId="166" fontId="1" fillId="2" borderId="25" xfId="0" applyNumberFormat="1" applyFont="1" applyFill="1" applyBorder="1"/>
    <xf numFmtId="165" fontId="0" fillId="5" borderId="10" xfId="0" applyNumberFormat="1" applyFill="1" applyBorder="1"/>
    <xf numFmtId="165" fontId="0" fillId="5" borderId="12" xfId="0" applyNumberFormat="1" applyFill="1" applyBorder="1"/>
    <xf numFmtId="165" fontId="0" fillId="5" borderId="11" xfId="0" applyNumberFormat="1" applyFill="1" applyBorder="1"/>
    <xf numFmtId="165" fontId="1" fillId="5" borderId="12" xfId="0" applyNumberFormat="1" applyFont="1" applyFill="1" applyBorder="1"/>
    <xf numFmtId="165" fontId="1" fillId="5" borderId="11" xfId="0" applyNumberFormat="1" applyFont="1" applyFill="1" applyBorder="1"/>
    <xf numFmtId="11" fontId="0" fillId="5" borderId="12" xfId="0" applyNumberFormat="1" applyFill="1" applyBorder="1"/>
    <xf numFmtId="2" fontId="0" fillId="5" borderId="12" xfId="0" applyNumberFormat="1" applyFill="1" applyBorder="1"/>
    <xf numFmtId="2" fontId="0" fillId="5" borderId="11" xfId="0" applyNumberFormat="1" applyFill="1" applyBorder="1"/>
    <xf numFmtId="2" fontId="0" fillId="5" borderId="25" xfId="0" applyNumberFormat="1" applyFill="1" applyBorder="1"/>
    <xf numFmtId="166" fontId="1" fillId="5" borderId="12" xfId="0" applyNumberFormat="1" applyFont="1" applyFill="1" applyBorder="1"/>
    <xf numFmtId="0" fontId="1" fillId="5" borderId="12" xfId="0" applyFont="1" applyFill="1" applyBorder="1"/>
    <xf numFmtId="166" fontId="0" fillId="5" borderId="14" xfId="0" applyNumberFormat="1" applyFill="1" applyBorder="1"/>
    <xf numFmtId="2" fontId="0" fillId="5" borderId="14" xfId="0" applyNumberFormat="1" applyFill="1" applyBorder="1"/>
    <xf numFmtId="11" fontId="0" fillId="5" borderId="16" xfId="0" applyNumberFormat="1" applyFill="1" applyBorder="1"/>
    <xf numFmtId="165" fontId="0" fillId="6" borderId="10" xfId="0" applyNumberFormat="1" applyFill="1" applyBorder="1"/>
    <xf numFmtId="165" fontId="0" fillId="6" borderId="12" xfId="0" applyNumberFormat="1" applyFill="1" applyBorder="1"/>
    <xf numFmtId="165" fontId="0" fillId="6" borderId="18" xfId="0" applyNumberFormat="1" applyFill="1" applyBorder="1"/>
    <xf numFmtId="165" fontId="0" fillId="6" borderId="11" xfId="0" applyNumberFormat="1" applyFill="1" applyBorder="1"/>
    <xf numFmtId="165" fontId="1" fillId="6" borderId="12" xfId="0" applyNumberFormat="1" applyFont="1" applyFill="1" applyBorder="1"/>
    <xf numFmtId="165" fontId="1" fillId="6" borderId="11" xfId="0" applyNumberFormat="1" applyFont="1" applyFill="1" applyBorder="1"/>
    <xf numFmtId="11" fontId="0" fillId="6" borderId="12" xfId="0" applyNumberFormat="1" applyFill="1" applyBorder="1"/>
    <xf numFmtId="11" fontId="0" fillId="6" borderId="18" xfId="0" applyNumberFormat="1" applyFill="1" applyBorder="1"/>
    <xf numFmtId="2" fontId="0" fillId="6" borderId="12" xfId="0" applyNumberFormat="1" applyFill="1" applyBorder="1"/>
    <xf numFmtId="2" fontId="0" fillId="6" borderId="11" xfId="0" applyNumberFormat="1" applyFill="1" applyBorder="1"/>
    <xf numFmtId="166" fontId="1" fillId="6" borderId="12" xfId="0" applyNumberFormat="1" applyFont="1" applyFill="1" applyBorder="1"/>
    <xf numFmtId="166" fontId="1" fillId="6" borderId="18" xfId="0" applyNumberFormat="1" applyFont="1" applyFill="1" applyBorder="1"/>
    <xf numFmtId="0" fontId="1" fillId="6" borderId="12" xfId="0" applyFont="1" applyFill="1" applyBorder="1"/>
    <xf numFmtId="0" fontId="1" fillId="6" borderId="18" xfId="0" applyFont="1" applyFill="1" applyBorder="1"/>
    <xf numFmtId="166" fontId="0" fillId="6" borderId="14" xfId="0" applyNumberFormat="1" applyFill="1" applyBorder="1"/>
    <xf numFmtId="166" fontId="0" fillId="6" borderId="17" xfId="0" applyNumberFormat="1" applyFill="1" applyBorder="1"/>
    <xf numFmtId="2" fontId="0" fillId="6" borderId="14" xfId="0" applyNumberFormat="1" applyFill="1" applyBorder="1"/>
    <xf numFmtId="2" fontId="0" fillId="6" borderId="17" xfId="0" applyNumberFormat="1" applyFill="1" applyBorder="1"/>
    <xf numFmtId="11" fontId="0" fillId="6" borderId="16" xfId="0" applyNumberFormat="1" applyFill="1" applyBorder="1"/>
    <xf numFmtId="11" fontId="0" fillId="6" borderId="19" xfId="0" applyNumberFormat="1" applyFill="1" applyBorder="1"/>
    <xf numFmtId="165" fontId="0" fillId="7" borderId="10" xfId="0" applyNumberFormat="1" applyFill="1" applyBorder="1"/>
    <xf numFmtId="165" fontId="0" fillId="7" borderId="0" xfId="0" applyNumberFormat="1" applyFill="1"/>
    <xf numFmtId="165" fontId="0" fillId="7" borderId="12" xfId="0" applyNumberFormat="1" applyFill="1" applyBorder="1"/>
    <xf numFmtId="165" fontId="1" fillId="7" borderId="12" xfId="0" applyNumberFormat="1" applyFont="1" applyFill="1" applyBorder="1"/>
    <xf numFmtId="165" fontId="1" fillId="7" borderId="11" xfId="0" applyNumberFormat="1" applyFont="1" applyFill="1" applyBorder="1"/>
    <xf numFmtId="11" fontId="0" fillId="7" borderId="12" xfId="0" applyNumberFormat="1" applyFill="1" applyBorder="1"/>
    <xf numFmtId="2" fontId="0" fillId="7" borderId="12" xfId="0" applyNumberFormat="1" applyFill="1" applyBorder="1"/>
    <xf numFmtId="2" fontId="0" fillId="7" borderId="11" xfId="0" applyNumberFormat="1" applyFill="1" applyBorder="1"/>
    <xf numFmtId="166" fontId="1" fillId="7" borderId="12" xfId="0" applyNumberFormat="1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0" fillId="7" borderId="0" xfId="0" applyFill="1"/>
    <xf numFmtId="166" fontId="0" fillId="7" borderId="14" xfId="0" applyNumberFormat="1" applyFill="1" applyBorder="1"/>
    <xf numFmtId="2" fontId="0" fillId="7" borderId="14" xfId="0" applyNumberFormat="1" applyFill="1" applyBorder="1"/>
    <xf numFmtId="0" fontId="6" fillId="10" borderId="26" xfId="77" applyBorder="1"/>
    <xf numFmtId="0" fontId="7" fillId="8" borderId="26" xfId="75"/>
    <xf numFmtId="0" fontId="8" fillId="9" borderId="27" xfId="76"/>
    <xf numFmtId="0" fontId="6" fillId="10" borderId="27" xfId="77" applyBorder="1"/>
    <xf numFmtId="0" fontId="8" fillId="0" borderId="0" xfId="76" applyFill="1" applyBorder="1"/>
    <xf numFmtId="0" fontId="8" fillId="9" borderId="28" xfId="76" applyBorder="1"/>
    <xf numFmtId="0" fontId="8" fillId="0" borderId="29" xfId="76" applyFill="1" applyBorder="1"/>
    <xf numFmtId="0" fontId="0" fillId="0" borderId="2" xfId="0" applyBorder="1"/>
    <xf numFmtId="0" fontId="9" fillId="0" borderId="0" xfId="76" applyFont="1" applyFill="1" applyBorder="1"/>
    <xf numFmtId="0" fontId="9" fillId="0" borderId="7" xfId="76" applyFont="1" applyFill="1" applyBorder="1"/>
    <xf numFmtId="2" fontId="0" fillId="0" borderId="11" xfId="0" applyNumberFormat="1" applyBorder="1"/>
    <xf numFmtId="1" fontId="0" fillId="0" borderId="12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1" fillId="0" borderId="30" xfId="0" applyFont="1" applyBorder="1"/>
    <xf numFmtId="0" fontId="0" fillId="0" borderId="25" xfId="0" applyBorder="1" applyAlignment="1">
      <alignment horizontal="center" vertical="center"/>
    </xf>
    <xf numFmtId="166" fontId="1" fillId="0" borderId="0" xfId="0" applyNumberFormat="1" applyFont="1"/>
    <xf numFmtId="0" fontId="0" fillId="7" borderId="12" xfId="0" applyFill="1" applyBorder="1"/>
    <xf numFmtId="166" fontId="0" fillId="0" borderId="4" xfId="0" applyNumberFormat="1" applyBorder="1"/>
    <xf numFmtId="166" fontId="0" fillId="0" borderId="5" xfId="0" applyNumberFormat="1" applyBorder="1"/>
    <xf numFmtId="166" fontId="0" fillId="2" borderId="4" xfId="0" applyNumberFormat="1" applyFill="1" applyBorder="1"/>
    <xf numFmtId="166" fontId="0" fillId="5" borderId="0" xfId="0" applyNumberFormat="1" applyFill="1"/>
    <xf numFmtId="166" fontId="0" fillId="6" borderId="0" xfId="0" applyNumberFormat="1" applyFill="1"/>
    <xf numFmtId="166" fontId="0" fillId="0" borderId="0" xfId="0" applyNumberFormat="1"/>
    <xf numFmtId="166" fontId="0" fillId="7" borderId="0" xfId="0" applyNumberFormat="1" applyFill="1"/>
    <xf numFmtId="167" fontId="0" fillId="0" borderId="0" xfId="0" applyNumberFormat="1"/>
    <xf numFmtId="0" fontId="0" fillId="0" borderId="0" xfId="0" applyAlignment="1">
      <alignment horizontal="center"/>
    </xf>
    <xf numFmtId="2" fontId="1" fillId="0" borderId="22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" fillId="0" borderId="24" xfId="0" applyNumberFormat="1" applyFont="1" applyBorder="1" applyAlignment="1">
      <alignment horizontal="center"/>
    </xf>
    <xf numFmtId="0" fontId="5" fillId="3" borderId="0" xfId="0" applyFont="1" applyFill="1" applyAlignment="1">
      <alignment horizontal="center" vertical="top" wrapText="1"/>
    </xf>
    <xf numFmtId="164" fontId="1" fillId="2" borderId="22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1" fillId="5" borderId="23" xfId="0" applyNumberFormat="1" applyFont="1" applyFill="1" applyBorder="1" applyAlignment="1">
      <alignment horizontal="center"/>
    </xf>
    <xf numFmtId="164" fontId="1" fillId="5" borderId="24" xfId="0" applyNumberFormat="1" applyFont="1" applyFill="1" applyBorder="1" applyAlignment="1">
      <alignment horizontal="center"/>
    </xf>
    <xf numFmtId="164" fontId="1" fillId="6" borderId="22" xfId="0" applyNumberFormat="1" applyFont="1" applyFill="1" applyBorder="1" applyAlignment="1">
      <alignment horizontal="center"/>
    </xf>
    <xf numFmtId="164" fontId="1" fillId="6" borderId="23" xfId="0" applyNumberFormat="1" applyFont="1" applyFill="1" applyBorder="1" applyAlignment="1">
      <alignment horizontal="center"/>
    </xf>
    <xf numFmtId="164" fontId="1" fillId="6" borderId="24" xfId="0" applyNumberFormat="1" applyFont="1" applyFill="1" applyBorder="1" applyAlignment="1">
      <alignment horizontal="center"/>
    </xf>
    <xf numFmtId="164" fontId="1" fillId="7" borderId="22" xfId="0" applyNumberFormat="1" applyFont="1" applyFill="1" applyBorder="1" applyAlignment="1">
      <alignment horizontal="center"/>
    </xf>
    <xf numFmtId="164" fontId="1" fillId="7" borderId="23" xfId="0" applyNumberFormat="1" applyFont="1" applyFill="1" applyBorder="1" applyAlignment="1">
      <alignment horizontal="center"/>
    </xf>
    <xf numFmtId="164" fontId="1" fillId="7" borderId="24" xfId="0" applyNumberFormat="1" applyFont="1" applyFill="1" applyBorder="1" applyAlignment="1">
      <alignment horizontal="center"/>
    </xf>
    <xf numFmtId="165" fontId="1" fillId="7" borderId="25" xfId="0" applyNumberFormat="1" applyFont="1" applyFill="1" applyBorder="1"/>
    <xf numFmtId="165" fontId="1" fillId="0" borderId="11" xfId="0" applyNumberFormat="1" applyFont="1" applyBorder="1"/>
  </cellXfs>
  <cellStyles count="78">
    <cellStyle name="20% - Accent1" xfId="77" builtinId="3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Input" xfId="75" builtinId="20"/>
    <cellStyle name="Normal" xfId="0" builtinId="0"/>
    <cellStyle name="Output" xfId="76" builtinId="21"/>
  </cellStyles>
  <dxfs count="0"/>
  <tableStyles count="0" defaultTableStyle="TableStyleMedium9" defaultPivotStyle="PivotStyleMedium4"/>
  <colors>
    <mruColors>
      <color rgb="FF64EDEC"/>
      <color rgb="FFFFC280"/>
      <color rgb="FFF893E9"/>
      <color rgb="FFFF07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microsoft.com/office/2017/10/relationships/person" Target="persons/perso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Th_q(deg) vs xBj</c:v>
          </c:tx>
          <c:spPr>
            <a:ln w="254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'DVCS-Kin'!$V$19:$Z$19</c:f>
              <c:numCache>
                <c:formatCode>General</c:formatCode>
                <c:ptCount val="5"/>
              </c:numCache>
            </c:numRef>
          </c:xVal>
          <c:yVal>
            <c:numRef>
              <c:f>'DVCS-Kin'!$V$26:$Z$26</c:f>
              <c:numCache>
                <c:formatCode>General</c:formatCode>
                <c:ptCount val="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7EF-B84C-B848-AED446FB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1291472"/>
        <c:axId val="741293120"/>
      </c:scatterChart>
      <c:valAx>
        <c:axId val="741291472"/>
        <c:scaling>
          <c:orientation val="minMax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3120"/>
        <c:crosses val="autoZero"/>
        <c:crossBetween val="midCat"/>
      </c:valAx>
      <c:valAx>
        <c:axId val="74129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12914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'El Kin'!$C$5</c:f>
              <c:strCache>
                <c:ptCount val="1"/>
                <c:pt idx="0">
                  <c:v>k'(GeV)@6.4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Kin'!$C$6:$C$36</c:f>
              <c:numCache>
                <c:formatCode>General</c:formatCode>
                <c:ptCount val="31"/>
                <c:pt idx="0">
                  <c:v>5.5675143018028681</c:v>
                </c:pt>
                <c:pt idx="1">
                  <c:v>5.5070107014590084</c:v>
                </c:pt>
                <c:pt idx="2">
                  <c:v>5.4454573304850094</c:v>
                </c:pt>
                <c:pt idx="3">
                  <c:v>5.382972278823436</c:v>
                </c:pt>
                <c:pt idx="4">
                  <c:v>5.3196706953357005</c:v>
                </c:pt>
                <c:pt idx="5">
                  <c:v>5.2556644567730029</c:v>
                </c:pt>
                <c:pt idx="6">
                  <c:v>5.1910618808142646</c:v>
                </c:pt>
                <c:pt idx="7">
                  <c:v>5.125967482130652</c:v>
                </c:pt>
                <c:pt idx="8">
                  <c:v>5.0604817700301323</c:v>
                </c:pt>
                <c:pt idx="9">
                  <c:v>4.9947010858939098</c:v>
                </c:pt>
                <c:pt idx="10">
                  <c:v>4.9287174783379157</c:v>
                </c:pt>
                <c:pt idx="11">
                  <c:v>4.8626186138144956</c:v>
                </c:pt>
                <c:pt idx="12">
                  <c:v>4.7964877202082796</c:v>
                </c:pt>
                <c:pt idx="13">
                  <c:v>4.730403560871884</c:v>
                </c:pt>
                <c:pt idx="14">
                  <c:v>4.6644404364864718</c:v>
                </c:pt>
                <c:pt idx="15">
                  <c:v>4.5986682121145677</c:v>
                </c:pt>
                <c:pt idx="16">
                  <c:v>4.533152366832077</c:v>
                </c:pt>
                <c:pt idx="17">
                  <c:v>4.4679540633784862</c:v>
                </c:pt>
                <c:pt idx="18">
                  <c:v>4.4031302353430766</c:v>
                </c:pt>
                <c:pt idx="19">
                  <c:v>4.3387336895060287</c:v>
                </c:pt>
                <c:pt idx="20">
                  <c:v>4.2748132210718506</c:v>
                </c:pt>
                <c:pt idx="21">
                  <c:v>4.2114137396642093</c:v>
                </c:pt>
                <c:pt idx="22">
                  <c:v>4.1485764040924593</c:v>
                </c:pt>
                <c:pt idx="23">
                  <c:v>4.086338764047083</c:v>
                </c:pt>
                <c:pt idx="24">
                  <c:v>4.0247349070312035</c:v>
                </c:pt>
                <c:pt idx="25">
                  <c:v>3.9637956089855551</c:v>
                </c:pt>
                <c:pt idx="26">
                  <c:v>3.903548487212523</c:v>
                </c:pt>
                <c:pt idx="27">
                  <c:v>3.8440181543495329</c:v>
                </c:pt>
                <c:pt idx="28">
                  <c:v>3.7852263722813251</c:v>
                </c:pt>
                <c:pt idx="29">
                  <c:v>3.7271922050137465</c:v>
                </c:pt>
                <c:pt idx="30">
                  <c:v>3.669932169657478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4B-5342-B038-39B4DD994DE8}"/>
            </c:ext>
          </c:extLst>
        </c:ser>
        <c:ser>
          <c:idx val="2"/>
          <c:order val="1"/>
          <c:tx>
            <c:strRef>
              <c:f>'El Kin'!$D$5</c:f>
              <c:strCache>
                <c:ptCount val="1"/>
                <c:pt idx="0">
                  <c:v>k'(GeV)@8.5</c:v>
                </c:pt>
              </c:strCache>
            </c:strRef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Kin'!$D$6:$D$36</c:f>
              <c:numCache>
                <c:formatCode>General</c:formatCode>
                <c:ptCount val="31"/>
                <c:pt idx="0">
                  <c:v>7.0834831588138556</c:v>
                </c:pt>
                <c:pt idx="1">
                  <c:v>6.9858338718952071</c:v>
                </c:pt>
                <c:pt idx="2">
                  <c:v>6.8870798181002542</c:v>
                </c:pt>
                <c:pt idx="3">
                  <c:v>6.7874337084432224</c:v>
                </c:pt>
                <c:pt idx="4">
                  <c:v>6.6870990358355087</c:v>
                </c:pt>
                <c:pt idx="5">
                  <c:v>6.5862696346198542</c:v>
                </c:pt>
                <c:pt idx="6">
                  <c:v>6.4851293553411038</c:v>
                </c:pt>
                <c:pt idx="7">
                  <c:v>6.3838518467023775</c:v>
                </c:pt>
                <c:pt idx="8">
                  <c:v>6.2826004360374563</c:v>
                </c:pt>
                <c:pt idx="9">
                  <c:v>6.1815280992512252</c:v>
                </c:pt>
                <c:pt idx="10">
                  <c:v>6.0807775110135207</c:v>
                </c:pt>
                <c:pt idx="11">
                  <c:v>5.9804811660104349</c:v>
                </c:pt>
                <c:pt idx="12">
                  <c:v>5.8807615622329159</c:v>
                </c:pt>
                <c:pt idx="13">
                  <c:v>5.781731437587684</c:v>
                </c:pt>
                <c:pt idx="14">
                  <c:v>5.6834940515238506</c:v>
                </c:pt>
                <c:pt idx="15">
                  <c:v>5.5861435038559346</c:v>
                </c:pt>
                <c:pt idx="16">
                  <c:v>5.4897650835074474</c:v>
                </c:pt>
                <c:pt idx="17">
                  <c:v>5.3944356404798492</c:v>
                </c:pt>
                <c:pt idx="18">
                  <c:v>5.3002239749516074</c:v>
                </c:pt>
                <c:pt idx="19">
                  <c:v>5.2071912380169136</c:v>
                </c:pt>
                <c:pt idx="20">
                  <c:v>5.115391339171433</c:v>
                </c:pt>
                <c:pt idx="21">
                  <c:v>5.0248713562327616</c:v>
                </c:pt>
                <c:pt idx="22">
                  <c:v>4.9356719439392478</c:v>
                </c:pt>
                <c:pt idx="23">
                  <c:v>4.8478277379958747</c:v>
                </c:pt>
                <c:pt idx="24">
                  <c:v>4.7613677518264925</c:v>
                </c:pt>
                <c:pt idx="25">
                  <c:v>4.6763157637450963</c:v>
                </c:pt>
                <c:pt idx="26">
                  <c:v>4.5926906926734299</c:v>
                </c:pt>
                <c:pt idx="27">
                  <c:v>4.5105069609082014</c:v>
                </c:pt>
                <c:pt idx="28">
                  <c:v>4.4297748427783734</c:v>
                </c:pt>
                <c:pt idx="29">
                  <c:v>4.3505007983332673</c:v>
                </c:pt>
                <c:pt idx="30">
                  <c:v>4.2726877914665851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B4B-5342-B038-39B4DD994DE8}"/>
            </c:ext>
          </c:extLst>
        </c:ser>
        <c:ser>
          <c:idx val="3"/>
          <c:order val="2"/>
          <c:tx>
            <c:strRef>
              <c:f>'El Kin'!$E$5</c:f>
              <c:strCache>
                <c:ptCount val="1"/>
                <c:pt idx="0">
                  <c:v>k'(GeV)@10.6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'El Kin'!$A$6:$A$36</c:f>
              <c:numCache>
                <c:formatCode>0.0</c:formatCode>
                <c:ptCount val="31"/>
                <c:pt idx="0">
                  <c:v>12</c:v>
                </c:pt>
                <c:pt idx="1">
                  <c:v>12.5</c:v>
                </c:pt>
                <c:pt idx="2">
                  <c:v>13</c:v>
                </c:pt>
                <c:pt idx="3">
                  <c:v>13.5</c:v>
                </c:pt>
                <c:pt idx="4">
                  <c:v>14</c:v>
                </c:pt>
                <c:pt idx="5">
                  <c:v>14.5</c:v>
                </c:pt>
                <c:pt idx="6">
                  <c:v>15</c:v>
                </c:pt>
                <c:pt idx="7">
                  <c:v>15.5</c:v>
                </c:pt>
                <c:pt idx="8">
                  <c:v>16</c:v>
                </c:pt>
                <c:pt idx="9">
                  <c:v>16.5</c:v>
                </c:pt>
                <c:pt idx="10">
                  <c:v>17</c:v>
                </c:pt>
                <c:pt idx="11">
                  <c:v>17.5</c:v>
                </c:pt>
                <c:pt idx="12">
                  <c:v>18</c:v>
                </c:pt>
                <c:pt idx="13">
                  <c:v>18.5</c:v>
                </c:pt>
                <c:pt idx="14">
                  <c:v>19</c:v>
                </c:pt>
                <c:pt idx="15">
                  <c:v>19.5</c:v>
                </c:pt>
                <c:pt idx="16">
                  <c:v>20</c:v>
                </c:pt>
                <c:pt idx="17">
                  <c:v>20.5</c:v>
                </c:pt>
                <c:pt idx="18">
                  <c:v>21</c:v>
                </c:pt>
                <c:pt idx="19">
                  <c:v>21.5</c:v>
                </c:pt>
                <c:pt idx="20">
                  <c:v>22</c:v>
                </c:pt>
                <c:pt idx="21">
                  <c:v>22.5</c:v>
                </c:pt>
                <c:pt idx="22">
                  <c:v>23</c:v>
                </c:pt>
                <c:pt idx="23">
                  <c:v>23.5</c:v>
                </c:pt>
                <c:pt idx="24">
                  <c:v>24</c:v>
                </c:pt>
                <c:pt idx="25">
                  <c:v>24.5</c:v>
                </c:pt>
                <c:pt idx="26">
                  <c:v>25</c:v>
                </c:pt>
                <c:pt idx="27">
                  <c:v>25.5</c:v>
                </c:pt>
                <c:pt idx="28">
                  <c:v>26</c:v>
                </c:pt>
                <c:pt idx="29">
                  <c:v>26.5</c:v>
                </c:pt>
                <c:pt idx="30">
                  <c:v>27</c:v>
                </c:pt>
              </c:numCache>
            </c:numRef>
          </c:xVal>
          <c:yVal>
            <c:numRef>
              <c:f>'El Kin'!$E$6:$E$36</c:f>
              <c:numCache>
                <c:formatCode>General</c:formatCode>
                <c:ptCount val="31"/>
                <c:pt idx="0">
                  <c:v>8.4739595455021188</c:v>
                </c:pt>
                <c:pt idx="1">
                  <c:v>8.3345878852040283</c:v>
                </c:pt>
                <c:pt idx="2">
                  <c:v>8.1944024220536686</c:v>
                </c:pt>
                <c:pt idx="3">
                  <c:v>8.0537220348436698</c:v>
                </c:pt>
                <c:pt idx="4">
                  <c:v>7.912846027910124</c:v>
                </c:pt>
                <c:pt idx="5">
                  <c:v>7.7720538768357672</c:v>
                </c:pt>
                <c:pt idx="6">
                  <c:v>7.6316051857757996</c:v>
                </c:pt>
                <c:pt idx="7">
                  <c:v>7.4917398319737467</c:v>
                </c:pt>
                <c:pt idx="8">
                  <c:v>7.3526782731738258</c:v>
                </c:pt>
                <c:pt idx="9">
                  <c:v>7.2146219942709129</c:v>
                </c:pt>
                <c:pt idx="10">
                  <c:v>7.077754070568739</c:v>
                </c:pt>
                <c:pt idx="11">
                  <c:v>6.942239826348497</c:v>
                </c:pt>
                <c:pt idx="12">
                  <c:v>6.8082275689981477</c:v>
                </c:pt>
                <c:pt idx="13">
                  <c:v>6.6758493806413339</c:v>
                </c:pt>
                <c:pt idx="14">
                  <c:v>6.5452219509689415</c:v>
                </c:pt>
                <c:pt idx="15">
                  <c:v>6.4164474367608655</c:v>
                </c:pt>
                <c:pt idx="16">
                  <c:v>6.2896143353453802</c:v>
                </c:pt>
                <c:pt idx="17">
                  <c:v>6.1647983609438635</c:v>
                </c:pt>
                <c:pt idx="18">
                  <c:v>6.0420633144622116</c:v>
                </c:pt>
                <c:pt idx="19">
                  <c:v>5.9214619387980543</c:v>
                </c:pt>
                <c:pt idx="20">
                  <c:v>5.8030367531227398</c:v>
                </c:pt>
                <c:pt idx="21">
                  <c:v>5.6868208608610322</c:v>
                </c:pt>
                <c:pt idx="22">
                  <c:v>5.5728387272282411</c:v>
                </c:pt>
                <c:pt idx="23">
                  <c:v>5.4611069231940892</c:v>
                </c:pt>
                <c:pt idx="24">
                  <c:v>5.3516348336296495</c:v>
                </c:pt>
                <c:pt idx="25">
                  <c:v>5.244425328164076</c:v>
                </c:pt>
                <c:pt idx="26">
                  <c:v>5.1394753939385547</c:v>
                </c:pt>
                <c:pt idx="27">
                  <c:v>5.0367767300051298</c:v>
                </c:pt>
                <c:pt idx="28">
                  <c:v>4.9363163035858229</c:v>
                </c:pt>
                <c:pt idx="29">
                  <c:v>4.8380768687925553</c:v>
                </c:pt>
                <c:pt idx="30">
                  <c:v>4.7420374487192181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B4B-5342-B038-39B4DD994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98885519"/>
        <c:axId val="1192819823"/>
      </c:scatterChart>
      <c:valAx>
        <c:axId val="1198885519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819823"/>
        <c:crosses val="autoZero"/>
        <c:crossBetween val="midCat"/>
      </c:valAx>
      <c:valAx>
        <c:axId val="1192819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8885519"/>
        <c:crossesAt val="10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75331036376354"/>
          <c:y val="9.8449943757030367E-2"/>
          <c:w val="0.21300709458561773"/>
          <c:h val="0.223077961408670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0EB4E6-410E-C64D-A938-FF27F1B6E2CD}">
  <sheetPr/>
  <sheetViews>
    <sheetView zoomScale="13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6718" cy="629183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169D9-A54E-F835-2F8B-3CF0A62302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793750</xdr:colOff>
      <xdr:row>5</xdr:row>
      <xdr:rowOff>50800</xdr:rowOff>
    </xdr:from>
    <xdr:to>
      <xdr:col>12</xdr:col>
      <xdr:colOff>660400</xdr:colOff>
      <xdr:row>33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84836DA-56E3-263A-96E5-72C56B776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2FB6-0357-DF42-9150-A36CED6EA2CE}">
  <dimension ref="A1:O37"/>
  <sheetViews>
    <sheetView workbookViewId="0">
      <selection activeCell="F3" sqref="F3"/>
    </sheetView>
  </sheetViews>
  <sheetFormatPr baseColWidth="10" defaultRowHeight="16" x14ac:dyDescent="0.2"/>
  <sheetData>
    <row r="1" spans="1:15" x14ac:dyDescent="0.2">
      <c r="A1" t="s">
        <v>123</v>
      </c>
      <c r="B1" t="s">
        <v>124</v>
      </c>
      <c r="C1" t="s">
        <v>125</v>
      </c>
      <c r="D1" t="s">
        <v>126</v>
      </c>
      <c r="E1" t="s">
        <v>127</v>
      </c>
      <c r="F1" t="s">
        <v>128</v>
      </c>
      <c r="G1" t="s">
        <v>129</v>
      </c>
      <c r="H1" t="s">
        <v>130</v>
      </c>
      <c r="I1" t="s">
        <v>131</v>
      </c>
      <c r="J1" t="s">
        <v>132</v>
      </c>
      <c r="K1" t="s">
        <v>133</v>
      </c>
      <c r="L1" t="s">
        <v>134</v>
      </c>
      <c r="M1" t="s">
        <v>135</v>
      </c>
      <c r="O1" t="s">
        <v>136</v>
      </c>
    </row>
    <row r="2" spans="1:15" x14ac:dyDescent="0.2">
      <c r="A2" s="118">
        <v>4</v>
      </c>
      <c r="B2" s="118">
        <v>5</v>
      </c>
      <c r="C2" s="118">
        <v>5</v>
      </c>
      <c r="D2" s="119">
        <f>0.1128*E2</f>
        <v>118.10159999999999</v>
      </c>
      <c r="E2" s="119">
        <v>1047</v>
      </c>
      <c r="F2" s="119">
        <v>1047</v>
      </c>
      <c r="G2">
        <f>RADIANS(G5)</f>
        <v>-0.16929693744344995</v>
      </c>
      <c r="H2">
        <f>RADIANS(180)</f>
        <v>3.1415926535897931</v>
      </c>
      <c r="I2">
        <f>RADIANS(37.5)</f>
        <v>0.6544984694978736</v>
      </c>
      <c r="J2">
        <v>0</v>
      </c>
      <c r="K2">
        <f>RADIANS(-37.5)</f>
        <v>-0.6544984694978736</v>
      </c>
      <c r="L2">
        <f>(M2-2)/2/0.51099906</f>
        <v>2.2693822176500971E-3</v>
      </c>
      <c r="M2">
        <v>2.0023193043599998</v>
      </c>
      <c r="O2" t="s">
        <v>137</v>
      </c>
    </row>
    <row r="3" spans="1:15" x14ac:dyDescent="0.2">
      <c r="D3" t="s">
        <v>138</v>
      </c>
      <c r="E3" t="s">
        <v>138</v>
      </c>
      <c r="F3" t="s">
        <v>138</v>
      </c>
      <c r="H3" t="s">
        <v>139</v>
      </c>
      <c r="I3" t="s">
        <v>140</v>
      </c>
      <c r="J3" t="s">
        <v>141</v>
      </c>
      <c r="K3" t="s">
        <v>142</v>
      </c>
      <c r="O3" t="s">
        <v>143</v>
      </c>
    </row>
    <row r="4" spans="1:15" x14ac:dyDescent="0.2">
      <c r="E4" t="s">
        <v>138</v>
      </c>
      <c r="G4" t="s">
        <v>138</v>
      </c>
      <c r="H4" t="s">
        <v>144</v>
      </c>
    </row>
    <row r="5" spans="1:15" x14ac:dyDescent="0.2">
      <c r="F5" t="s">
        <v>145</v>
      </c>
      <c r="G5" s="119">
        <v>-9.6999999999999993</v>
      </c>
      <c r="H5" s="120">
        <f>G5-90</f>
        <v>-99.7</v>
      </c>
      <c r="I5" t="s">
        <v>146</v>
      </c>
      <c r="J5" t="s">
        <v>138</v>
      </c>
    </row>
    <row r="6" spans="1:15" x14ac:dyDescent="0.2">
      <c r="E6" t="s">
        <v>138</v>
      </c>
      <c r="H6">
        <f>G5+90</f>
        <v>80.3</v>
      </c>
      <c r="I6" t="s">
        <v>147</v>
      </c>
    </row>
    <row r="7" spans="1:15" x14ac:dyDescent="0.2">
      <c r="A7" t="s">
        <v>138</v>
      </c>
      <c r="B7" t="s">
        <v>148</v>
      </c>
      <c r="C7">
        <v>1</v>
      </c>
      <c r="H7" t="s">
        <v>138</v>
      </c>
      <c r="J7" s="4" t="s">
        <v>138</v>
      </c>
      <c r="K7" t="s">
        <v>138</v>
      </c>
    </row>
    <row r="8" spans="1:15" x14ac:dyDescent="0.2">
      <c r="A8" t="s">
        <v>149</v>
      </c>
      <c r="B8">
        <f>$D$2+$E$2</f>
        <v>1165.1016</v>
      </c>
      <c r="K8" t="s">
        <v>138</v>
      </c>
    </row>
    <row r="9" spans="1:15" x14ac:dyDescent="0.2">
      <c r="A9" t="s">
        <v>150</v>
      </c>
      <c r="B9" t="s">
        <v>151</v>
      </c>
      <c r="C9" t="s">
        <v>152</v>
      </c>
      <c r="D9" t="s">
        <v>153</v>
      </c>
      <c r="E9" t="s">
        <v>154</v>
      </c>
      <c r="F9" t="s">
        <v>155</v>
      </c>
      <c r="G9" t="s">
        <v>156</v>
      </c>
      <c r="H9" t="s">
        <v>157</v>
      </c>
      <c r="I9" t="s">
        <v>158</v>
      </c>
      <c r="J9" t="s">
        <v>159</v>
      </c>
    </row>
    <row r="10" spans="1:15" x14ac:dyDescent="0.2">
      <c r="A10">
        <v>1</v>
      </c>
      <c r="B10">
        <f>B8-0.08846*$C$7*POWER(B8/1000,4)*0.5*PI()/16/1.0016</f>
        <v>1165.0856225411317</v>
      </c>
      <c r="C10">
        <f>B10+$F$2</f>
        <v>2212.0856225411317</v>
      </c>
      <c r="D10">
        <f>C10-0.08846*$C$7*POWER(C10/1000,4)*0.5*PI()/2.0032/16</f>
        <v>2211.9818146782659</v>
      </c>
      <c r="E10">
        <f>$E$2+D10</f>
        <v>3258.9818146782659</v>
      </c>
      <c r="F10">
        <f>$L$2*PI()*B10+$L$2*PI()*D10+$G$2</f>
        <v>23.907419251653518</v>
      </c>
      <c r="G10">
        <f>$L$2*$I$2*C10-$L$2*PI()*D10+F10</f>
        <v>11.422777978438781</v>
      </c>
      <c r="H10">
        <f>F10-$L$2*PI()*D10</f>
        <v>8.1371513024581841</v>
      </c>
      <c r="I10">
        <f>$L$2*$K$2*C10+F10-$L$2*PI()*D10</f>
        <v>4.8515246264775858</v>
      </c>
    </row>
    <row r="11" spans="1:15" x14ac:dyDescent="0.2">
      <c r="A11">
        <v>2</v>
      </c>
      <c r="B11">
        <f>E10-0.08846*$C$7*POWER(E10/1000,4)*0.5*PI()/1.0016/32</f>
        <v>3258.4927680531569</v>
      </c>
      <c r="C11">
        <f>B11+$F$2</f>
        <v>4305.4927680531564</v>
      </c>
      <c r="D11">
        <f>C11-0.08846*$C$7*POWER(C11/1000,4)*0.5*PI()/2.0032/32</f>
        <v>4304.747892058188</v>
      </c>
      <c r="E11">
        <f>$E$2+D11</f>
        <v>5351.747892058188</v>
      </c>
      <c r="F11">
        <f>$L$2*PI()*B11+$L$2*PI()*D11+F10</f>
        <v>77.829350699156592</v>
      </c>
      <c r="G11">
        <f>$L$2*$I$2*C11-$L$2*PI()*D11+F11</f>
        <v>53.533739717159769</v>
      </c>
      <c r="H11">
        <f>F11-$L$2*PI()*D11</f>
        <v>47.138760360209517</v>
      </c>
      <c r="I11">
        <f>$L$2*$K$2*C11+F11-$L$2*PI()*D11</f>
        <v>40.743781003259258</v>
      </c>
      <c r="K11">
        <v>1</v>
      </c>
      <c r="L11">
        <v>2</v>
      </c>
      <c r="M11">
        <v>3</v>
      </c>
      <c r="N11">
        <v>4</v>
      </c>
      <c r="O11">
        <v>5</v>
      </c>
    </row>
    <row r="12" spans="1:15" x14ac:dyDescent="0.2">
      <c r="A12">
        <v>3</v>
      </c>
      <c r="B12">
        <f>E11-0.08846*$C$7*POWER(E11/1000,4)*0.5*PI()/2.0032/32</f>
        <v>5349.9697145652499</v>
      </c>
      <c r="C12">
        <f>B12+$F$2</f>
        <v>6396.9697145652499</v>
      </c>
      <c r="D12">
        <f>C12-0.08846*$C$7*POWER(C12/1000,4)*0.5*PI()/2.0032/32</f>
        <v>6393.3398560225014</v>
      </c>
      <c r="E12">
        <f>$E$2+D12</f>
        <v>7440.3398560225014</v>
      </c>
      <c r="F12">
        <f>$L$2*PI()*B12+$L$2*PI()*D12+F11</f>
        <v>161.55297686533987</v>
      </c>
      <c r="G12">
        <f>$L$2*$I$2*C12-$L$2*PI()*D12+F12</f>
        <v>125.47328847128165</v>
      </c>
      <c r="H12">
        <f>F12-$L$2*PI()*D12</f>
        <v>115.97182337181091</v>
      </c>
      <c r="I12">
        <f>$L$2*$K$2*C12+F12-$L$2*PI()*D12</f>
        <v>106.47035827234016</v>
      </c>
      <c r="J12" t="s">
        <v>160</v>
      </c>
      <c r="K12">
        <f>MOD(CHOOSE(1,$G$10,$G$11,$G$12,$G$13,$G$14)/PI(),2)*180</f>
        <v>294.47696847952056</v>
      </c>
      <c r="L12">
        <f>MOD(CHOOSE(2,$G$10,$G$11,$G$12,$G$13,$G$14)/PI(),2)*180</f>
        <v>187.257347345124</v>
      </c>
      <c r="M12">
        <f>MOD(CHOOSE(3,$G$10,$G$11,$G$12,$G$13,$G$14)/PI(),2)*180</f>
        <v>349.08987103192726</v>
      </c>
      <c r="N12">
        <f>MOD(CHOOSE(4,$G$10,$G$11,$G$12,$G$13,$G$14)/PI(),2)*180</f>
        <v>55.698852212641157</v>
      </c>
      <c r="O12">
        <f>MOD(CHOOSE(5,$G$10,$G$11,$G$12,$G$13,$G$14)/PI(),2)*180</f>
        <v>19.303667136195486</v>
      </c>
    </row>
    <row r="13" spans="1:15" x14ac:dyDescent="0.2">
      <c r="A13">
        <v>4</v>
      </c>
      <c r="B13">
        <f>E12-0.08846*$C$7*POWER(E12/1000,4)*0.5*PI()/3.001205/32</f>
        <v>7435.9058909642172</v>
      </c>
      <c r="C13">
        <f>B13+$F$2</f>
        <v>8482.9058909642172</v>
      </c>
      <c r="D13">
        <f>C13-0.08846*$C$7*POWER(C13/1000,4)*0.5*PI()/3.001205/32</f>
        <v>8475.413856468138</v>
      </c>
      <c r="E13">
        <f>$E$2+D13</f>
        <v>9522.413856468138</v>
      </c>
      <c r="F13">
        <f>$L$2*PI()*B13+$L$2*PI()*D13+F12</f>
        <v>274.99232531623505</v>
      </c>
      <c r="G13">
        <f>$L$2*$I$2*C13-$L$2*PI()*D13+F13</f>
        <v>227.1667994191574</v>
      </c>
      <c r="H13">
        <f>F13-$L$2*PI()*D13</f>
        <v>214.56707832284314</v>
      </c>
      <c r="I13">
        <f>$L$2*$K$2*C13+F13-$L$2*PI()*D13</f>
        <v>201.96735722652886</v>
      </c>
      <c r="J13" t="s">
        <v>161</v>
      </c>
      <c r="K13">
        <f>MOD(CHOOSE(1,$H$10,$H$11,$H$12,$H$13,$H$14)/PI(),2)*180</f>
        <v>106.22442689023474</v>
      </c>
      <c r="L13">
        <f>MOD(CHOOSE(2,$H$10,$H$11,$H$12,$H$13,$H$14)/PI(),2)*180</f>
        <v>180.85202011858951</v>
      </c>
      <c r="M13">
        <f>MOD(CHOOSE(3,$H$10,$H$11,$H$12,$H$13,$H$14)/PI(),2)*180</f>
        <v>164.69602164140497</v>
      </c>
      <c r="N13">
        <f>MOD(CHOOSE(4,$H$10,$H$11,$H$12,$H$13,$H$14)/PI(),2)*180</f>
        <v>53.788010351886726</v>
      </c>
      <c r="O13">
        <f>MOD(CHOOSE(5,$H$10,$H$11,$H$12,$H$13,$H$14)/PI(),2)*180</f>
        <v>200.83956355589578</v>
      </c>
    </row>
    <row r="14" spans="1:15" x14ac:dyDescent="0.2">
      <c r="A14">
        <v>5</v>
      </c>
      <c r="B14">
        <f>E13-0.08846*$C$7*POWER(E13/1000,4)*0.5*PI()/3.001205/32</f>
        <v>9510.5176256339928</v>
      </c>
      <c r="C14">
        <f>B14+$F$2</f>
        <v>10557.517625633993</v>
      </c>
      <c r="D14">
        <f>C14-0.08846*$C$7*POWER(C14/1000,4)*0.5*PI()/4.0016/32</f>
        <v>10544.036367640863</v>
      </c>
      <c r="E14">
        <f>$E$2+D14</f>
        <v>11591.036367640863</v>
      </c>
      <c r="F14">
        <f>$L$2*PI()*B14+$L$2*PI()*D14+F13</f>
        <v>417.97075668347065</v>
      </c>
      <c r="G14">
        <f>$L$2*$I$2*C14-$L$2*PI()*D14+F14</f>
        <v>358.47847505847204</v>
      </c>
      <c r="H14">
        <f>F14-$L$2*PI()*D14</f>
        <v>342.79731824001647</v>
      </c>
      <c r="I14">
        <f>$L$2*$K$2*C14+F14-$L$2*PI()*D14</f>
        <v>327.11616142156089</v>
      </c>
      <c r="J14" t="s">
        <v>162</v>
      </c>
      <c r="K14">
        <f>MOD(CHOOSE(1,$I$10,$I$11,$I$12,$I$13,$I$14)/PI(),2)*180</f>
        <v>277.97188530094883</v>
      </c>
      <c r="L14">
        <f>MOD(CHOOSE(2,$I$10,$I$11,$I$12,$I$13,$I$14)/PI(),2)*180</f>
        <v>174.44669289205467</v>
      </c>
      <c r="M14">
        <f>MOD(CHOOSE(3,$I$10,$I$11,$I$12,$I$13,$I$14)/PI(),2)*180</f>
        <v>340.30217225088268</v>
      </c>
      <c r="N14">
        <f>MOD(CHOOSE(4,$I$10,$I$11,$I$12,$I$13,$I$14)/PI(),2)*180</f>
        <v>51.877168491132295</v>
      </c>
      <c r="O14">
        <f>MOD(CHOOSE(5,$I$10,$I$11,$I$12,$I$13,$I$14)/PI(),2)*180</f>
        <v>22.375459975598631</v>
      </c>
    </row>
    <row r="16" spans="1:15" x14ac:dyDescent="0.2">
      <c r="B16" t="s">
        <v>163</v>
      </c>
      <c r="C16" s="121">
        <f>CHOOSE(A2,C10,C11,C12,C13,C14)</f>
        <v>8482.9058909642172</v>
      </c>
    </row>
    <row r="17" spans="1:15" x14ac:dyDescent="0.2">
      <c r="B17" t="s">
        <v>164</v>
      </c>
      <c r="C17" s="121">
        <f>CHOOSE(B2,C10,C11,C12,C13,C14)</f>
        <v>10557.517625633993</v>
      </c>
      <c r="H17" t="s">
        <v>138</v>
      </c>
      <c r="I17" t="s">
        <v>138</v>
      </c>
    </row>
    <row r="18" spans="1:15" x14ac:dyDescent="0.2">
      <c r="B18" t="s">
        <v>93</v>
      </c>
      <c r="C18" s="121">
        <f>CHOOSE(C2,C10,C11,C12,C13,C14)</f>
        <v>10557.517625633993</v>
      </c>
    </row>
    <row r="19" spans="1:15" x14ac:dyDescent="0.2">
      <c r="F19" t="s">
        <v>138</v>
      </c>
      <c r="G19" t="s">
        <v>138</v>
      </c>
      <c r="H19" t="s">
        <v>138</v>
      </c>
    </row>
    <row r="20" spans="1:15" x14ac:dyDescent="0.2">
      <c r="C20" s="122"/>
      <c r="D20" s="122"/>
      <c r="E20" s="122"/>
      <c r="F20" s="122"/>
      <c r="G20" s="122"/>
      <c r="H20" s="122"/>
      <c r="I20" t="s">
        <v>165</v>
      </c>
    </row>
    <row r="21" spans="1:15" x14ac:dyDescent="0.2">
      <c r="A21" s="120" t="s">
        <v>166</v>
      </c>
      <c r="B21" s="120"/>
      <c r="C21" s="123"/>
      <c r="D21" s="123"/>
      <c r="E21" s="123"/>
      <c r="F21" s="123"/>
      <c r="G21" s="123"/>
      <c r="I21" s="120"/>
      <c r="J21" s="120">
        <v>1</v>
      </c>
      <c r="K21" s="120">
        <v>2</v>
      </c>
      <c r="L21" s="120">
        <v>3</v>
      </c>
      <c r="M21" s="120">
        <v>4</v>
      </c>
      <c r="N21" s="120">
        <v>5</v>
      </c>
    </row>
    <row r="22" spans="1:15" x14ac:dyDescent="0.2">
      <c r="A22" s="120"/>
      <c r="B22" s="120"/>
      <c r="C22" s="120">
        <v>1</v>
      </c>
      <c r="D22" s="120">
        <v>2</v>
      </c>
      <c r="E22" s="120">
        <v>3</v>
      </c>
      <c r="F22" s="120">
        <v>4</v>
      </c>
      <c r="G22" s="120">
        <v>5</v>
      </c>
      <c r="I22" s="120" t="s">
        <v>138</v>
      </c>
      <c r="J22" s="120"/>
      <c r="K22" s="120"/>
      <c r="L22" s="120"/>
      <c r="M22" s="120"/>
      <c r="N22" s="120"/>
    </row>
    <row r="23" spans="1:15" x14ac:dyDescent="0.2">
      <c r="A23" s="120"/>
      <c r="B23" s="120" t="s">
        <v>160</v>
      </c>
      <c r="C23" s="120">
        <f>POWER(COS(MOD(CHOOSE(1,$G$10,$G$11,$G$12,$G$13,$G$14)/PI(),2)*PI()),2)</f>
        <v>0.17166721651079389</v>
      </c>
      <c r="D23" s="120">
        <f>POWER(COS(MOD(CHOOSE(2,$G$10,$G$11,$G$12,$G$13,$G$14)/PI(),2)*PI()),2)</f>
        <v>0.98404169669800579</v>
      </c>
      <c r="E23" s="120">
        <f>POWER(COS(MOD(CHOOSE(3,$G$10,$G$11,$G$12,$G$13,$G$14)/PI(),2)*PI()),2)</f>
        <v>0.96417723259127308</v>
      </c>
      <c r="F23" s="120">
        <f>POWER(COS(MOD(CHOOSE(4,$G$10,$G$11,$G$12,$G$13,$G$14)/PI(),2)*PI()),2)</f>
        <v>0.31758025951015018</v>
      </c>
      <c r="G23" s="120">
        <f>POWER(COS(MOD(CHOOSE(5,$G$10,$G$11,$G$12,$G$13,$G$14)/PI(),2)*PI()),2)</f>
        <v>0.89072030246743894</v>
      </c>
      <c r="I23" s="120" t="s">
        <v>160</v>
      </c>
      <c r="J23" s="120">
        <f t="shared" ref="J23:N25" si="0">IF(K12&lt;-260,360+K12,IF(K12&lt;-100,180+K12,IF(K12&lt;=0,-K12,IF(K12&lt;=100,-K12,IF(K12&lt;=260,180-K12,360-K12)))))</f>
        <v>65.523031520479435</v>
      </c>
      <c r="K23" s="120">
        <f t="shared" si="0"/>
        <v>-7.2573473451240034</v>
      </c>
      <c r="L23" s="120">
        <f t="shared" si="0"/>
        <v>10.91012896807274</v>
      </c>
      <c r="M23" s="120">
        <f t="shared" si="0"/>
        <v>-55.698852212641157</v>
      </c>
      <c r="N23" s="120">
        <f t="shared" si="0"/>
        <v>-19.303667136195486</v>
      </c>
    </row>
    <row r="24" spans="1:15" x14ac:dyDescent="0.2">
      <c r="A24" s="120"/>
      <c r="B24" s="120" t="s">
        <v>161</v>
      </c>
      <c r="C24" s="120">
        <f>POWER(COS(MOD(CHOOSE(1,$H$10,$H$11,$H$12,$H$13,$H$14)/PI(),2)*PI()),2)</f>
        <v>7.8064629539450453E-2</v>
      </c>
      <c r="D24" s="120">
        <f>POWER(COS(MOD(CHOOSE(2,$H$10,$H$11,$H$12,$H$13,$H$14)/PI(),2)*PI()),2)</f>
        <v>0.999778882852986</v>
      </c>
      <c r="E24" s="120">
        <f>POWER(COS(MOD(CHOOSE(3,$H$10,$H$11,$H$12,$H$13,$H$14)/PI(),2)*PI()),2)</f>
        <v>0.93033566382922228</v>
      </c>
      <c r="F24" s="120">
        <f>POWER(COS(MOD(CHOOSE(4,$H$10,$H$11,$H$12,$H$13,$H$14)/PI(),2)*PI()),2)</f>
        <v>0.34901453142888167</v>
      </c>
      <c r="G24" s="120">
        <f>POWER(COS(MOD(CHOOSE(5,$H$10,$H$11,$H$12,$H$13,$H$14)/PI(),2)*PI()),2)</f>
        <v>0.87344023828403639</v>
      </c>
      <c r="I24" s="120" t="s">
        <v>161</v>
      </c>
      <c r="J24" s="120">
        <f t="shared" si="0"/>
        <v>73.775573109765261</v>
      </c>
      <c r="K24" s="120">
        <f t="shared" si="0"/>
        <v>-0.85202011858950755</v>
      </c>
      <c r="L24" s="120">
        <f t="shared" si="0"/>
        <v>15.303978358595032</v>
      </c>
      <c r="M24" s="120">
        <f t="shared" si="0"/>
        <v>-53.788010351886726</v>
      </c>
      <c r="N24" s="120">
        <f t="shared" si="0"/>
        <v>-20.839563555895779</v>
      </c>
    </row>
    <row r="25" spans="1:15" x14ac:dyDescent="0.2">
      <c r="A25" s="120"/>
      <c r="B25" s="120" t="s">
        <v>162</v>
      </c>
      <c r="C25" s="120">
        <f>POWER(COS(MOD(CHOOSE(1,$I$10,$I$11,$I$12,$I$13,$I$14)/PI(),2)*PI()),2)</f>
        <v>1.9234129890718689E-2</v>
      </c>
      <c r="D25" s="120">
        <f>POWER(COS(MOD(CHOOSE(2,$I$10,$I$11,$I$12,$I$13,$I$14)/PI(),2)*PI()),2)</f>
        <v>0.9906352163739216</v>
      </c>
      <c r="E25" s="120">
        <f>POWER(COS(MOD(CHOOSE(3,$I$10,$I$11,$I$12,$I$13,$I$14)/PI(),2)*PI()),2)</f>
        <v>0.88639085013150043</v>
      </c>
      <c r="F25" s="120">
        <f>POWER(COS(MOD(CHOOSE(4,$I$10,$I$11,$I$12,$I$13,$I$14)/PI(),2)*PI()),2)</f>
        <v>0.38112029149292498</v>
      </c>
      <c r="G25" s="120">
        <f>POWER(COS(MOD(CHOOSE(5,$I$10,$I$11,$I$12,$I$13,$I$14)/PI(),2)*PI()),2)</f>
        <v>0.85508703587323498</v>
      </c>
      <c r="I25" s="120" t="s">
        <v>162</v>
      </c>
      <c r="J25" s="120">
        <f t="shared" si="0"/>
        <v>82.028114699051173</v>
      </c>
      <c r="K25" s="120">
        <f t="shared" si="0"/>
        <v>5.5533071079453293</v>
      </c>
      <c r="L25" s="120">
        <f t="shared" si="0"/>
        <v>19.697827749117323</v>
      </c>
      <c r="M25" s="120">
        <f t="shared" si="0"/>
        <v>-51.877168491132295</v>
      </c>
      <c r="N25" s="120">
        <f t="shared" si="0"/>
        <v>-22.375459975598631</v>
      </c>
    </row>
    <row r="27" spans="1:15" ht="17" thickBot="1" x14ac:dyDescent="0.25">
      <c r="O27" s="124" t="s">
        <v>138</v>
      </c>
    </row>
    <row r="28" spans="1:15" x14ac:dyDescent="0.2">
      <c r="A28" s="10"/>
      <c r="B28" s="125" t="s">
        <v>167</v>
      </c>
      <c r="C28" s="125" t="s">
        <v>168</v>
      </c>
      <c r="D28" s="5" t="s">
        <v>169</v>
      </c>
    </row>
    <row r="29" spans="1:15" x14ac:dyDescent="0.2">
      <c r="A29" s="15">
        <v>102.5</v>
      </c>
      <c r="B29" s="126">
        <v>7.8746573509144893E-2</v>
      </c>
      <c r="C29">
        <v>0.96896628496576198</v>
      </c>
      <c r="D29" s="6">
        <v>0.77113962194329155</v>
      </c>
    </row>
    <row r="30" spans="1:15" x14ac:dyDescent="0.2">
      <c r="A30" s="15">
        <v>105</v>
      </c>
      <c r="B30">
        <v>3.2725303863449982E-2</v>
      </c>
      <c r="C30" s="126">
        <v>0.98792269228615792</v>
      </c>
      <c r="D30" s="6">
        <v>0.74410904793658372</v>
      </c>
    </row>
    <row r="31" spans="1:15" x14ac:dyDescent="0.2">
      <c r="A31" s="15">
        <v>107.5</v>
      </c>
      <c r="B31">
        <v>6.2777141368049643E-3</v>
      </c>
      <c r="C31">
        <v>0.99814372655049455</v>
      </c>
      <c r="D31" s="6">
        <v>0.71605909505265608</v>
      </c>
    </row>
    <row r="32" spans="1:15" x14ac:dyDescent="0.2">
      <c r="A32" s="15">
        <v>110</v>
      </c>
      <c r="B32">
        <v>5.3665505086492591E-4</v>
      </c>
      <c r="C32">
        <v>0.99943275882828186</v>
      </c>
      <c r="D32" s="6">
        <v>0.6872428317060898</v>
      </c>
    </row>
    <row r="33" spans="1:4" x14ac:dyDescent="0.2">
      <c r="A33" s="15">
        <v>112.5</v>
      </c>
      <c r="B33" s="126">
        <v>1.5674896844550864E-2</v>
      </c>
      <c r="C33">
        <v>0.99181154192821508</v>
      </c>
      <c r="D33" s="6">
        <v>0.65779907837724005</v>
      </c>
    </row>
    <row r="34" spans="1:4" x14ac:dyDescent="0.2">
      <c r="A34" s="15">
        <v>115</v>
      </c>
      <c r="B34">
        <v>5.1117801592078446E-2</v>
      </c>
      <c r="C34">
        <v>0.9753722207845601</v>
      </c>
      <c r="D34" s="6">
        <v>0.62756478078485778</v>
      </c>
    </row>
    <row r="35" spans="1:4" x14ac:dyDescent="0.2">
      <c r="A35" s="15">
        <v>117.5</v>
      </c>
      <c r="B35">
        <v>0.10537205131849657</v>
      </c>
      <c r="C35">
        <v>0.95041746125579718</v>
      </c>
      <c r="D35" s="6">
        <v>0.5968220896537062</v>
      </c>
    </row>
    <row r="36" spans="1:4" x14ac:dyDescent="0.2">
      <c r="A36" s="15">
        <v>120</v>
      </c>
      <c r="B36">
        <v>0.17616404802844804</v>
      </c>
      <c r="C36">
        <v>0.91739419215409557</v>
      </c>
      <c r="D36" s="6">
        <v>0.56569336940873016</v>
      </c>
    </row>
    <row r="37" spans="1:4" ht="17" thickBot="1" x14ac:dyDescent="0.25">
      <c r="A37" s="18">
        <v>122.5</v>
      </c>
      <c r="B37" s="127">
        <v>0.26052713599981897</v>
      </c>
      <c r="C37" s="8">
        <v>0.87689388393947398</v>
      </c>
      <c r="D37" s="9">
        <v>0.53430253251278681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2"/>
  <sheetViews>
    <sheetView tabSelected="1" topLeftCell="F14" zoomScale="150" zoomScaleNormal="150" workbookViewId="0">
      <selection activeCell="U28" sqref="U28"/>
    </sheetView>
  </sheetViews>
  <sheetFormatPr baseColWidth="10" defaultRowHeight="16" x14ac:dyDescent="0.2"/>
  <cols>
    <col min="1" max="1" width="15" customWidth="1"/>
    <col min="2" max="2" width="10" customWidth="1"/>
    <col min="3" max="3" width="10" style="3" customWidth="1"/>
    <col min="14" max="14" width="10.83203125" style="1"/>
    <col min="21" max="21" width="19.83203125" customWidth="1"/>
    <col min="29" max="29" width="18.6640625" customWidth="1"/>
  </cols>
  <sheetData>
    <row r="1" spans="1:26" s="1" customFormat="1" ht="17" thickBot="1" x14ac:dyDescent="0.25">
      <c r="A1" s="1" t="s">
        <v>21</v>
      </c>
      <c r="C1" s="2"/>
      <c r="O1" s="1" t="s">
        <v>62</v>
      </c>
      <c r="P1" s="1" t="s">
        <v>63</v>
      </c>
    </row>
    <row r="2" spans="1:26" s="1" customFormat="1" ht="15" customHeight="1" x14ac:dyDescent="0.2">
      <c r="B2" s="10" t="s">
        <v>41</v>
      </c>
      <c r="C2" s="11">
        <v>6.0000000000000001E-3</v>
      </c>
      <c r="D2" s="12" t="s">
        <v>42</v>
      </c>
      <c r="E2" s="13"/>
      <c r="F2" s="13"/>
      <c r="G2" s="14"/>
      <c r="J2" s="152" t="s">
        <v>188</v>
      </c>
      <c r="K2" s="152"/>
      <c r="L2" s="152"/>
      <c r="O2" s="1" t="s">
        <v>54</v>
      </c>
      <c r="P2" s="1" t="s">
        <v>55</v>
      </c>
    </row>
    <row r="3" spans="1:26" s="1" customFormat="1" ht="15" customHeight="1" x14ac:dyDescent="0.2">
      <c r="B3" s="15" t="s">
        <v>43</v>
      </c>
      <c r="C3">
        <v>0.08</v>
      </c>
      <c r="D3" t="s">
        <v>44</v>
      </c>
      <c r="G3" s="16"/>
      <c r="J3" s="152"/>
      <c r="K3" s="152"/>
      <c r="L3" s="152"/>
      <c r="O3" s="1" t="s">
        <v>56</v>
      </c>
      <c r="P3" s="1" t="s">
        <v>57</v>
      </c>
    </row>
    <row r="4" spans="1:26" ht="15" customHeight="1" x14ac:dyDescent="0.2">
      <c r="B4" s="15" t="s">
        <v>18</v>
      </c>
      <c r="C4">
        <f>(208-32-22)*3*3*0.0001</f>
        <v>0.1386</v>
      </c>
      <c r="D4" s="3" t="s">
        <v>19</v>
      </c>
      <c r="E4" s="17" t="s">
        <v>38</v>
      </c>
      <c r="F4" t="s">
        <v>28</v>
      </c>
      <c r="G4" s="6" t="s">
        <v>30</v>
      </c>
      <c r="J4" s="152"/>
      <c r="K4" s="152"/>
      <c r="L4" s="152"/>
      <c r="O4" t="s">
        <v>58</v>
      </c>
      <c r="P4" t="s">
        <v>59</v>
      </c>
    </row>
    <row r="5" spans="1:26" ht="15" customHeight="1" x14ac:dyDescent="0.2">
      <c r="B5" s="15" t="s">
        <v>2</v>
      </c>
      <c r="C5">
        <v>0.93830000000000002</v>
      </c>
      <c r="D5" s="3" t="s">
        <v>53</v>
      </c>
      <c r="E5" s="17"/>
      <c r="G5" s="6"/>
      <c r="J5" s="152"/>
      <c r="K5" s="152"/>
      <c r="L5" s="152"/>
    </row>
    <row r="6" spans="1:26" x14ac:dyDescent="0.2">
      <c r="B6" s="15" t="s">
        <v>45</v>
      </c>
      <c r="C6" s="4">
        <v>6.0000000000000001E-3</v>
      </c>
      <c r="D6" s="3" t="s">
        <v>42</v>
      </c>
      <c r="E6" s="17" t="s">
        <v>121</v>
      </c>
      <c r="F6">
        <v>30</v>
      </c>
      <c r="G6" s="6" t="s">
        <v>80</v>
      </c>
      <c r="J6" s="152"/>
      <c r="K6" s="152"/>
      <c r="L6" s="152"/>
      <c r="O6" s="1" t="s">
        <v>60</v>
      </c>
      <c r="P6" s="1" t="s">
        <v>64</v>
      </c>
    </row>
    <row r="7" spans="1:26" x14ac:dyDescent="0.2">
      <c r="B7" s="15" t="s">
        <v>46</v>
      </c>
      <c r="C7">
        <v>0.16</v>
      </c>
      <c r="D7" t="s">
        <v>44</v>
      </c>
      <c r="E7" s="17"/>
      <c r="G7" s="6"/>
      <c r="O7" s="1" t="s">
        <v>61</v>
      </c>
      <c r="P7" s="1" t="s">
        <v>57</v>
      </c>
    </row>
    <row r="8" spans="1:26" x14ac:dyDescent="0.2">
      <c r="B8" s="15" t="s">
        <v>20</v>
      </c>
      <c r="C8">
        <f>(36-2)*(30-2)*(0.02)^2</f>
        <v>0.38080000000000003</v>
      </c>
      <c r="D8" s="3" t="s">
        <v>19</v>
      </c>
      <c r="E8" s="17" t="s">
        <v>107</v>
      </c>
      <c r="F8" t="s">
        <v>28</v>
      </c>
      <c r="G8" s="6" t="s">
        <v>29</v>
      </c>
      <c r="H8">
        <f>14*0.02</f>
        <v>0.28000000000000003</v>
      </c>
      <c r="I8" t="s">
        <v>108</v>
      </c>
      <c r="R8" s="1" t="s">
        <v>189</v>
      </c>
      <c r="S8" s="1">
        <v>11.7</v>
      </c>
      <c r="T8" s="1" t="s">
        <v>39</v>
      </c>
      <c r="Y8" s="1"/>
      <c r="Z8" s="1"/>
    </row>
    <row r="9" spans="1:26" x14ac:dyDescent="0.2">
      <c r="B9" s="15" t="s">
        <v>47</v>
      </c>
      <c r="C9">
        <v>0.1</v>
      </c>
      <c r="D9" s="3" t="s">
        <v>48</v>
      </c>
      <c r="E9" s="17"/>
      <c r="F9" t="s">
        <v>117</v>
      </c>
      <c r="G9" s="6" t="s">
        <v>118</v>
      </c>
      <c r="J9" t="s">
        <v>74</v>
      </c>
      <c r="K9">
        <v>1900</v>
      </c>
      <c r="L9" t="s">
        <v>65</v>
      </c>
      <c r="M9">
        <v>2.5255000000000001</v>
      </c>
      <c r="N9" s="1" t="s">
        <v>81</v>
      </c>
    </row>
    <row r="10" spans="1:26" ht="17" thickBot="1" x14ac:dyDescent="0.25">
      <c r="B10" s="18" t="s">
        <v>49</v>
      </c>
      <c r="C10" s="19">
        <v>1.0000000000000001E-33</v>
      </c>
      <c r="D10" s="20" t="s">
        <v>50</v>
      </c>
      <c r="E10" s="8"/>
      <c r="F10" s="8"/>
      <c r="G10" s="9"/>
      <c r="I10" s="1"/>
      <c r="O10" t="s">
        <v>88</v>
      </c>
      <c r="P10" t="s">
        <v>89</v>
      </c>
    </row>
    <row r="11" spans="1:26" x14ac:dyDescent="0.2">
      <c r="B11" s="15" t="s">
        <v>67</v>
      </c>
      <c r="C11" s="4">
        <f>E11*D11</f>
        <v>0.123</v>
      </c>
      <c r="D11" s="38">
        <v>1</v>
      </c>
      <c r="E11">
        <v>0.123</v>
      </c>
      <c r="F11" t="s">
        <v>68</v>
      </c>
      <c r="I11" t="s">
        <v>90</v>
      </c>
      <c r="J11">
        <v>0.11799999999999999</v>
      </c>
    </row>
    <row r="12" spans="1:26" ht="17" thickBot="1" x14ac:dyDescent="0.25">
      <c r="B12" s="15" t="s">
        <v>69</v>
      </c>
      <c r="C12" s="4">
        <f>E12*D11</f>
        <v>2.1800000000000002</v>
      </c>
      <c r="D12" s="3" t="s">
        <v>53</v>
      </c>
      <c r="E12" s="38">
        <f>2*1.09</f>
        <v>2.1800000000000002</v>
      </c>
      <c r="F12" t="s">
        <v>53</v>
      </c>
      <c r="I12" t="s">
        <v>91</v>
      </c>
      <c r="J12">
        <f>2*1.047</f>
        <v>2.0939999999999999</v>
      </c>
    </row>
    <row r="13" spans="1:26" ht="17" thickBot="1" x14ac:dyDescent="0.25">
      <c r="A13" s="10"/>
      <c r="B13" s="5"/>
      <c r="C13" s="149" t="s">
        <v>93</v>
      </c>
      <c r="D13" s="150"/>
      <c r="E13" s="150"/>
      <c r="F13" s="150"/>
      <c r="G13" s="150"/>
      <c r="H13" s="150"/>
      <c r="I13" s="150"/>
      <c r="J13" s="150"/>
      <c r="K13" s="150"/>
      <c r="L13" s="150"/>
      <c r="M13" s="151"/>
      <c r="N13" s="56"/>
    </row>
    <row r="14" spans="1:26" ht="17" thickBot="1" x14ac:dyDescent="0.25">
      <c r="A14" s="15"/>
      <c r="B14" s="6"/>
      <c r="C14" s="53" t="s">
        <v>92</v>
      </c>
      <c r="D14" s="150" t="s">
        <v>94</v>
      </c>
      <c r="E14" s="150"/>
      <c r="F14" s="54"/>
      <c r="G14" s="54"/>
      <c r="H14" s="54"/>
      <c r="I14" s="149" t="s">
        <v>101</v>
      </c>
      <c r="J14" s="150"/>
      <c r="K14" s="151"/>
      <c r="L14" s="149" t="s">
        <v>113</v>
      </c>
      <c r="M14" s="150"/>
      <c r="N14" s="150"/>
      <c r="O14" s="151"/>
      <c r="P14" s="59"/>
      <c r="Q14" s="57"/>
      <c r="R14" s="148" t="s">
        <v>119</v>
      </c>
      <c r="S14" s="148"/>
      <c r="T14" s="148"/>
    </row>
    <row r="15" spans="1:26" ht="17" thickBot="1" x14ac:dyDescent="0.25">
      <c r="A15" s="15" t="s">
        <v>75</v>
      </c>
      <c r="B15" s="6"/>
      <c r="C15" s="43" t="s">
        <v>96</v>
      </c>
      <c r="D15" s="44" t="s">
        <v>97</v>
      </c>
      <c r="E15" s="44" t="s">
        <v>98</v>
      </c>
      <c r="F15" s="44" t="s">
        <v>99</v>
      </c>
      <c r="G15" s="44"/>
      <c r="H15" s="44" t="s">
        <v>100</v>
      </c>
      <c r="I15" s="44" t="s">
        <v>102</v>
      </c>
      <c r="J15" s="44" t="s">
        <v>103</v>
      </c>
      <c r="K15" s="44" t="s">
        <v>104</v>
      </c>
      <c r="L15" s="130" t="s">
        <v>114</v>
      </c>
      <c r="M15" s="131" t="s">
        <v>115</v>
      </c>
      <c r="N15" s="131" t="s">
        <v>116</v>
      </c>
      <c r="O15" s="132"/>
      <c r="P15" s="57"/>
      <c r="Q15" s="44" t="s">
        <v>180</v>
      </c>
      <c r="R15" s="44" t="s">
        <v>181</v>
      </c>
      <c r="S15" s="44" t="s">
        <v>182</v>
      </c>
      <c r="T15" s="44" t="s">
        <v>183</v>
      </c>
    </row>
    <row r="16" spans="1:26" ht="17" thickBot="1" x14ac:dyDescent="0.25">
      <c r="A16" s="15" t="s">
        <v>66</v>
      </c>
      <c r="B16" s="6"/>
      <c r="C16" s="35">
        <v>3</v>
      </c>
      <c r="D16" s="36">
        <v>4</v>
      </c>
      <c r="E16" s="36">
        <v>5</v>
      </c>
      <c r="F16" s="36">
        <v>4</v>
      </c>
      <c r="G16" s="36">
        <v>5</v>
      </c>
      <c r="H16" s="36">
        <v>5</v>
      </c>
      <c r="I16" s="36">
        <v>4</v>
      </c>
      <c r="J16" s="36">
        <v>5</v>
      </c>
      <c r="K16" s="37">
        <v>5</v>
      </c>
      <c r="L16" s="133">
        <v>3</v>
      </c>
      <c r="M16" s="134">
        <v>4</v>
      </c>
      <c r="N16" s="134">
        <v>5</v>
      </c>
      <c r="O16" s="135">
        <v>5</v>
      </c>
      <c r="P16" s="136" t="s">
        <v>66</v>
      </c>
      <c r="Q16" s="137">
        <v>3</v>
      </c>
      <c r="R16" s="129">
        <v>4</v>
      </c>
      <c r="S16" s="129">
        <v>5</v>
      </c>
      <c r="T16" s="129">
        <v>5</v>
      </c>
    </row>
    <row r="17" spans="1:26" x14ac:dyDescent="0.2">
      <c r="A17" s="15" t="s">
        <v>6</v>
      </c>
      <c r="B17" s="6" t="s">
        <v>23</v>
      </c>
      <c r="C17" s="51">
        <f>CHOOSE(C16,Accel2023!C10,Accel2023!C11,Accel2023!C12,Accel2023!C13,Accel2023!C14)/1000</f>
        <v>6.39696971456525</v>
      </c>
      <c r="D17" s="39">
        <f>CHOOSE(D16,Accel2023!$C10,Accel2023!$C11,Accel2023!$C12,Accel2023!$C13,Accel2023!$C14)/1000</f>
        <v>8.4829058909642168</v>
      </c>
      <c r="E17" s="39">
        <f>CHOOSE(E16,Accel2023!$C10,Accel2023!$C11,Accel2023!$C12,Accel2023!$C13,Accel2023!$C14)/1000</f>
        <v>10.557517625633993</v>
      </c>
      <c r="F17" s="39">
        <f>CHOOSE(F16,Accel2023!$C10,Accel2023!$C11,Accel2023!$C12,Accel2023!$C13,Accel2023!$C14)/1000</f>
        <v>8.4829058909642168</v>
      </c>
      <c r="G17" s="39">
        <f>CHOOSE(G16,Accel2023!$C10,Accel2023!$C11,Accel2023!$C12,Accel2023!$C13,Accel2023!$C14)/1000</f>
        <v>10.557517625633993</v>
      </c>
      <c r="H17" s="39">
        <f>CHOOSE(H16,Accel2023!$C10,Accel2023!$C11,Accel2023!$C12,Accel2023!$C13,Accel2023!$C14)/1000</f>
        <v>10.557517625633993</v>
      </c>
      <c r="I17" s="70">
        <f>CHOOSE(I16,Accel2023!$C10,Accel2023!$C11,Accel2023!$C12,Accel2023!$C13,Accel2023!$C14)/1000</f>
        <v>8.4829058909642168</v>
      </c>
      <c r="J17" s="70">
        <f>CHOOSE(J16,Accel2023!$C10,Accel2023!$C11,Accel2023!$C12,Accel2023!$C13,Accel2023!$C14)/1000</f>
        <v>10.557517625633993</v>
      </c>
      <c r="K17" s="70">
        <f>CHOOSE(K16,Accel2023!$C10,Accel2023!$C11,Accel2023!$C12,Accel2023!$C13,Accel2023!$C14)/1000</f>
        <v>10.557517625633993</v>
      </c>
      <c r="L17" s="84">
        <f>CHOOSE(L16,Accel2023!$C10,Accel2023!$C11,Accel2023!$C12,Accel2023!$C13,Accel2023!$C14)/1000</f>
        <v>6.39696971456525</v>
      </c>
      <c r="M17" s="84">
        <f>CHOOSE(M16,Accel2023!$C10,Accel2023!$C11,Accel2023!$C12,Accel2023!$C13,Accel2023!$C14)/1000</f>
        <v>8.4829058909642168</v>
      </c>
      <c r="N17" s="84">
        <f>CHOOSE(N16,Accel2023!$C10,Accel2023!$C11,Accel2023!$C12,Accel2023!$C13,Accel2023!$C14)/1000</f>
        <v>10.557517625633993</v>
      </c>
      <c r="O17" s="84">
        <f>CHOOSE(O16,Accel2023!$C10,Accel2023!$C11,Accel2023!$C12,Accel2023!$C13,Accel2023!$C14)/1000</f>
        <v>10.557517625633993</v>
      </c>
      <c r="P17" s="34" t="s">
        <v>6</v>
      </c>
      <c r="Q17" s="104">
        <f>CHOOSE(Q16,Accel2023!$C10,Accel2023!$C11,Accel2023!$C12,Accel2023!$C13,Accel2023!$C14)/1000</f>
        <v>6.39696971456525</v>
      </c>
      <c r="R17" s="104">
        <f>CHOOSE(R16,Accel2023!$C10,Accel2023!$C11,Accel2023!$C12,Accel2023!$C13,Accel2023!$C14)/1000</f>
        <v>8.4829058909642168</v>
      </c>
      <c r="S17" s="104">
        <f>CHOOSE(S16,Accel2023!$C10,Accel2023!$C11,Accel2023!$C12,Accel2023!$C13,Accel2023!$C14)/1000</f>
        <v>10.557517625633993</v>
      </c>
      <c r="T17" s="104">
        <f>CHOOSE(T16,Accel2023!$C10,Accel2023!$C11,Accel2023!$C12,Accel2023!$C13,Accel2023!$C14)/1000</f>
        <v>10.557517625633993</v>
      </c>
      <c r="U17" t="s">
        <v>184</v>
      </c>
    </row>
    <row r="18" spans="1:26" x14ac:dyDescent="0.2">
      <c r="A18" s="15" t="s">
        <v>0</v>
      </c>
      <c r="B18" s="6" t="s">
        <v>24</v>
      </c>
      <c r="C18" s="52">
        <v>3</v>
      </c>
      <c r="D18" s="40">
        <v>3</v>
      </c>
      <c r="E18" s="40">
        <v>3</v>
      </c>
      <c r="F18" s="40">
        <v>4</v>
      </c>
      <c r="G18" s="40">
        <v>4</v>
      </c>
      <c r="H18" s="40">
        <v>5.5</v>
      </c>
      <c r="I18" s="71">
        <v>3.4</v>
      </c>
      <c r="J18" s="71">
        <v>3.4</v>
      </c>
      <c r="K18" s="71">
        <v>4.8</v>
      </c>
      <c r="L18" s="85">
        <v>5.0999999999999996</v>
      </c>
      <c r="M18" s="85">
        <v>5.0999999999999996</v>
      </c>
      <c r="N18" s="85">
        <v>5.0999999999999996</v>
      </c>
      <c r="O18" s="86">
        <v>6</v>
      </c>
      <c r="P18" s="34" t="s">
        <v>0</v>
      </c>
      <c r="Q18" s="105">
        <v>2.1</v>
      </c>
      <c r="R18" s="105">
        <v>2.4</v>
      </c>
      <c r="S18" s="105">
        <v>2.4</v>
      </c>
      <c r="T18" s="105">
        <v>3</v>
      </c>
    </row>
    <row r="19" spans="1:26" x14ac:dyDescent="0.2">
      <c r="A19" s="15" t="s">
        <v>1</v>
      </c>
      <c r="B19" s="6"/>
      <c r="C19" s="52">
        <v>0.36</v>
      </c>
      <c r="D19" s="40">
        <v>0.36</v>
      </c>
      <c r="E19" s="40">
        <v>0.36</v>
      </c>
      <c r="F19" s="40">
        <v>0.36</v>
      </c>
      <c r="G19" s="40">
        <v>0.36</v>
      </c>
      <c r="H19" s="40">
        <v>0.36</v>
      </c>
      <c r="I19" s="71">
        <v>0.5</v>
      </c>
      <c r="J19" s="71">
        <v>0.5</v>
      </c>
      <c r="K19" s="71">
        <f>J19</f>
        <v>0.5</v>
      </c>
      <c r="L19" s="85">
        <v>0.6</v>
      </c>
      <c r="M19" s="85">
        <v>0.6</v>
      </c>
      <c r="N19" s="85">
        <v>0.6</v>
      </c>
      <c r="O19" s="86">
        <v>0.6</v>
      </c>
      <c r="P19" s="34" t="s">
        <v>1</v>
      </c>
      <c r="Q19" s="106">
        <v>0.24</v>
      </c>
      <c r="R19" s="106">
        <v>0.24</v>
      </c>
      <c r="S19" s="106">
        <v>0.24</v>
      </c>
      <c r="T19" s="106">
        <v>0.25</v>
      </c>
    </row>
    <row r="20" spans="1:26" x14ac:dyDescent="0.2">
      <c r="A20" s="15" t="s">
        <v>3</v>
      </c>
      <c r="B20" s="6" t="s">
        <v>23</v>
      </c>
      <c r="C20" s="60">
        <f t="shared" ref="C20:L20" si="0">C18/(2*MProton*C19)</f>
        <v>4.4406550854382045</v>
      </c>
      <c r="D20" s="60">
        <f t="shared" si="0"/>
        <v>4.4406550854382045</v>
      </c>
      <c r="E20" s="60">
        <f t="shared" si="0"/>
        <v>4.4406550854382045</v>
      </c>
      <c r="F20" s="60">
        <f t="shared" si="0"/>
        <v>5.9208734472509388</v>
      </c>
      <c r="G20" s="60">
        <f t="shared" si="0"/>
        <v>5.9208734472509388</v>
      </c>
      <c r="H20" s="60">
        <f t="shared" si="0"/>
        <v>8.1412009899700415</v>
      </c>
      <c r="I20" s="72">
        <f t="shared" si="0"/>
        <v>3.6235745497175742</v>
      </c>
      <c r="J20" s="72">
        <f t="shared" si="0"/>
        <v>3.6235745497175742</v>
      </c>
      <c r="K20" s="72">
        <f t="shared" si="0"/>
        <v>5.1156346584248107</v>
      </c>
      <c r="L20" s="87">
        <f t="shared" si="0"/>
        <v>4.5294681871469678</v>
      </c>
      <c r="M20" s="87">
        <f t="shared" ref="M20" si="1">M18/(2*MProton*M19)</f>
        <v>4.5294681871469678</v>
      </c>
      <c r="N20" s="87">
        <f t="shared" ref="N20" si="2">N18/(2*MProton*N19)</f>
        <v>4.5294681871469678</v>
      </c>
      <c r="O20" s="87">
        <f t="shared" ref="O20" si="3">O18/(2*MProton*O19)</f>
        <v>5.3287861025258438</v>
      </c>
      <c r="P20" s="34" t="s">
        <v>3</v>
      </c>
      <c r="Q20" s="106">
        <f>Q18/(2*MProton*Q19)</f>
        <v>4.6626878397101139</v>
      </c>
      <c r="R20" s="106">
        <f>R18/(2*MProton*R19)</f>
        <v>5.3287861025258447</v>
      </c>
      <c r="S20" s="106">
        <f>S18/(2*MProton*S19)</f>
        <v>5.3287861025258447</v>
      </c>
      <c r="T20" s="106">
        <f>T18/(2*MProton*T19)</f>
        <v>6.3945433230310131</v>
      </c>
      <c r="U20" s="55"/>
    </row>
    <row r="21" spans="1:26" x14ac:dyDescent="0.2">
      <c r="A21" s="33" t="s">
        <v>4</v>
      </c>
      <c r="B21" s="16" t="s">
        <v>23</v>
      </c>
      <c r="C21" s="41">
        <f>C17-C20</f>
        <v>1.9563146291270455</v>
      </c>
      <c r="D21" s="42">
        <f>D17-D20</f>
        <v>4.0422508055260122</v>
      </c>
      <c r="E21" s="42">
        <f>E17-E20</f>
        <v>6.1168625401957888</v>
      </c>
      <c r="F21" s="42">
        <f t="shared" ref="F21:H21" si="4">F17-F20</f>
        <v>2.562032443713278</v>
      </c>
      <c r="G21" s="42">
        <f t="shared" ref="G21" si="5">G17-G20</f>
        <v>4.6366441783830545</v>
      </c>
      <c r="H21" s="42">
        <f t="shared" si="4"/>
        <v>2.4163166356639518</v>
      </c>
      <c r="I21" s="73">
        <f t="shared" ref="I21:L21" si="6">I17-I20</f>
        <v>4.8593313412466426</v>
      </c>
      <c r="J21" s="73">
        <f t="shared" si="6"/>
        <v>6.9339430759164191</v>
      </c>
      <c r="K21" s="73">
        <f t="shared" si="6"/>
        <v>5.4418829672091826</v>
      </c>
      <c r="L21" s="88">
        <f t="shared" si="6"/>
        <v>1.8675015274182822</v>
      </c>
      <c r="M21" s="88">
        <f t="shared" ref="M21" si="7">M17-M20</f>
        <v>3.953437703817249</v>
      </c>
      <c r="N21" s="88">
        <f t="shared" ref="N21" si="8">N17-N20</f>
        <v>6.0280494384870256</v>
      </c>
      <c r="O21" s="88">
        <f t="shared" ref="O21" si="9">O17-O20</f>
        <v>5.2287315231081495</v>
      </c>
      <c r="P21" s="34" t="s">
        <v>4</v>
      </c>
      <c r="Q21" s="107">
        <f>Q17-Q20</f>
        <v>1.7342818748551361</v>
      </c>
      <c r="R21" s="107">
        <f t="shared" ref="R21:T21" si="10">R17-R20</f>
        <v>3.154119788438372</v>
      </c>
      <c r="S21" s="107">
        <f t="shared" si="10"/>
        <v>5.2287315231081486</v>
      </c>
      <c r="T21" s="107">
        <f t="shared" si="10"/>
        <v>4.1629743026029802</v>
      </c>
      <c r="U21" s="1" t="s">
        <v>177</v>
      </c>
    </row>
    <row r="22" spans="1:26" s="1" customFormat="1" x14ac:dyDescent="0.2">
      <c r="A22" s="15" t="s">
        <v>5</v>
      </c>
      <c r="B22" s="6"/>
      <c r="C22" s="60">
        <f>1-C18/(2*C17*C21)</f>
        <v>0.88013889921175514</v>
      </c>
      <c r="D22" s="40">
        <f>1-D18/(2*D17*D21)</f>
        <v>0.95625551038338708</v>
      </c>
      <c r="E22" s="40">
        <f>1-E18/(2*E17*E21)</f>
        <v>0.97677259337429267</v>
      </c>
      <c r="F22" s="40">
        <f t="shared" ref="F22:H22" si="11">1-F18/(2*F17*F21)</f>
        <v>0.90797608160715026</v>
      </c>
      <c r="G22" s="40">
        <f t="shared" ref="G22" si="12">1-G18/(2*G17*G21)</f>
        <v>0.95914319407785376</v>
      </c>
      <c r="H22" s="40">
        <f t="shared" si="11"/>
        <v>0.89220042844177405</v>
      </c>
      <c r="I22" s="71">
        <f t="shared" ref="I22:L22" si="13">1-I18/(2*I17*I21)</f>
        <v>0.95875913561583237</v>
      </c>
      <c r="J22" s="71">
        <f t="shared" si="13"/>
        <v>0.97677761428607812</v>
      </c>
      <c r="K22" s="71">
        <f t="shared" si="13"/>
        <v>0.95822656110738136</v>
      </c>
      <c r="L22" s="85">
        <f t="shared" si="13"/>
        <v>0.78654569405299835</v>
      </c>
      <c r="M22" s="85">
        <f t="shared" ref="M22" si="14">1-M18/(2*M17*M21)</f>
        <v>0.92396376020472426</v>
      </c>
      <c r="N22" s="85">
        <f t="shared" ref="N22" si="15">1-N18/(2*N17*N21)</f>
        <v>0.95993164067320824</v>
      </c>
      <c r="O22" s="85">
        <f t="shared" ref="O22" si="16">1-O18/(2*O17*O21)</f>
        <v>0.94565456158275751</v>
      </c>
      <c r="P22" s="34" t="s">
        <v>5</v>
      </c>
      <c r="Q22" s="106">
        <f>1-Q18/(2*Q17*Q21)</f>
        <v>0.90535551352145061</v>
      </c>
      <c r="R22" s="106">
        <f t="shared" ref="R22:T22" si="17">1-R18/(2*R17*R21)</f>
        <v>0.95515041653440158</v>
      </c>
      <c r="S22" s="106">
        <f t="shared" si="17"/>
        <v>0.97826182463310296</v>
      </c>
      <c r="T22" s="106">
        <f t="shared" si="17"/>
        <v>0.96587083100516691</v>
      </c>
      <c r="U22"/>
      <c r="V22"/>
      <c r="W22"/>
      <c r="X22"/>
      <c r="Y22"/>
      <c r="Z22"/>
    </row>
    <row r="23" spans="1:26" x14ac:dyDescent="0.2">
      <c r="A23" s="15" t="s">
        <v>7</v>
      </c>
      <c r="B23" s="6"/>
      <c r="C23" s="60">
        <f>1/(1+2*((C20^2+C18)/C18)*(1-C22)/(1+C22))</f>
        <v>0.5087522323323147</v>
      </c>
      <c r="D23" s="40">
        <f>1/(1+2*((D20^2+D18)/D18)*(1-D22)/(1+D22))</f>
        <v>0.7469983501730777</v>
      </c>
      <c r="E23" s="40">
        <f>1/(1+2*((E20^2+E18)/E18)*(1-E22)/(1+E22))</f>
        <v>0.84891712479967418</v>
      </c>
      <c r="F23" s="40">
        <f t="shared" ref="F23:H23" si="18">1/(1+2*((F20^2+F18)/F18)*(1-F22)/(1+F22))</f>
        <v>0.51496589055844277</v>
      </c>
      <c r="G23" s="40">
        <f t="shared" ref="G23" si="19">1/(1+2*((G20^2+G18)/G18)*(1-G22)/(1+G22))</f>
        <v>0.71060429500435207</v>
      </c>
      <c r="H23" s="40">
        <f t="shared" si="18"/>
        <v>0.4020883434596611</v>
      </c>
      <c r="I23" s="71">
        <f t="shared" ref="I23:L23" si="20">1/(1+2*((I20^2+I18)/I18)*(1-I22)/(1+I22))</f>
        <v>0.83006252896673571</v>
      </c>
      <c r="J23" s="71">
        <f t="shared" si="20"/>
        <v>0.89748067389660235</v>
      </c>
      <c r="K23" s="71">
        <f t="shared" si="20"/>
        <v>0.78414594897716849</v>
      </c>
      <c r="L23" s="85">
        <f t="shared" si="20"/>
        <v>0.45449860158497724</v>
      </c>
      <c r="M23" s="85">
        <f t="shared" ref="M23" si="21">1/(1+2*((M20^2+M18)/M18)*(1-M22)/(1+M22))</f>
        <v>0.71581691415764226</v>
      </c>
      <c r="N23" s="85">
        <f t="shared" ref="N23" si="22">1/(1+2*((N20^2+N18)/N18)*(1-N22)/(1+N22))</f>
        <v>0.82962203081471386</v>
      </c>
      <c r="O23" s="85">
        <f t="shared" ref="O23" si="23">1/(1+2*((O20^2+O18)/O18)*(1-O22)/(1+O22))</f>
        <v>0.75743466556748962</v>
      </c>
      <c r="P23" s="34" t="s">
        <v>7</v>
      </c>
      <c r="Q23" s="106">
        <f>1/(1+2*((Q20^2+Q18)/Q18)*(1-Q22)/(1+Q22))</f>
        <v>0.46995972203442726</v>
      </c>
      <c r="R23" s="106">
        <f t="shared" ref="R23:T23" si="24">1/(1+2*((R20^2+R18)/R18)*(1-R22)/(1+R22))</f>
        <v>0.62944721858602104</v>
      </c>
      <c r="S23" s="106">
        <f t="shared" si="24"/>
        <v>0.78003012311046127</v>
      </c>
      <c r="T23" s="106">
        <f t="shared" si="24"/>
        <v>0.6631386311552292</v>
      </c>
    </row>
    <row r="24" spans="1:26" x14ac:dyDescent="0.2">
      <c r="A24" s="15" t="s">
        <v>198</v>
      </c>
      <c r="B24" s="6" t="s">
        <v>25</v>
      </c>
      <c r="C24" s="60">
        <f t="shared" ref="C24:K24" si="25">ACOS(C22)*180/3.14159</f>
        <v>28.340900647724478</v>
      </c>
      <c r="D24" s="40">
        <f t="shared" si="25"/>
        <v>17.009662315704151</v>
      </c>
      <c r="E24" s="40">
        <f t="shared" si="25"/>
        <v>12.373215848507318</v>
      </c>
      <c r="F24" s="40">
        <f t="shared" ref="F24:H24" si="26">ACOS(F22)*180/3.14159</f>
        <v>24.77287848112319</v>
      </c>
      <c r="G24" s="40">
        <f t="shared" ref="G24" si="27">ACOS(G22)*180/3.14159</f>
        <v>16.434634960983246</v>
      </c>
      <c r="H24" s="40">
        <f t="shared" si="26"/>
        <v>26.848955195857581</v>
      </c>
      <c r="I24" s="71">
        <f t="shared" si="25"/>
        <v>16.512234525865733</v>
      </c>
      <c r="J24" s="71">
        <f t="shared" si="25"/>
        <v>12.371873237915272</v>
      </c>
      <c r="K24" s="71">
        <f t="shared" si="25"/>
        <v>16.619259003652708</v>
      </c>
      <c r="L24" s="85">
        <f t="shared" ref="L24:O24" si="28">ACOS(L22)*180/3.14159</f>
        <v>38.136169299947689</v>
      </c>
      <c r="M24" s="85">
        <f t="shared" si="28"/>
        <v>22.487404980172041</v>
      </c>
      <c r="N24" s="85">
        <f t="shared" si="28"/>
        <v>16.27420082269121</v>
      </c>
      <c r="O24" s="85">
        <f t="shared" si="28"/>
        <v>18.976069722544644</v>
      </c>
      <c r="P24" s="34" t="s">
        <v>8</v>
      </c>
      <c r="Q24" s="106">
        <f t="shared" ref="Q24:T24" si="29">ACOS(Q22)*180/3.14159</f>
        <v>25.128813833074584</v>
      </c>
      <c r="R24" s="106">
        <f t="shared" si="29"/>
        <v>17.224787720889836</v>
      </c>
      <c r="S24" s="106">
        <f t="shared" si="29"/>
        <v>11.968491788745734</v>
      </c>
      <c r="T24" s="106">
        <f t="shared" si="29"/>
        <v>15.012182377002773</v>
      </c>
      <c r="U24" s="1" t="s">
        <v>185</v>
      </c>
    </row>
    <row r="25" spans="1:26" x14ac:dyDescent="0.2">
      <c r="A25" s="15" t="s">
        <v>9</v>
      </c>
      <c r="B25" s="6"/>
      <c r="C25" s="60">
        <f>C21*SIN(ACOS(C22))/SQRT(C20^2+C18)</f>
        <v>0.19483824270287445</v>
      </c>
      <c r="D25" s="40">
        <f>D21*SIN(ACOS(D22))/SQRT(D20^2+D18)</f>
        <v>0.24808421111972248</v>
      </c>
      <c r="E25" s="40">
        <f>E21*SIN(ACOS(E22))/SQRT(E20^2+E18)</f>
        <v>0.27498489658136238</v>
      </c>
      <c r="F25" s="40">
        <f t="shared" ref="F25:H25" si="30">F21*SIN(ACOS(F22))/SQRT(F20^2+F18)</f>
        <v>0.17178033302443471</v>
      </c>
      <c r="G25" s="40">
        <f t="shared" ref="G25" si="31">G21*SIN(ACOS(G22))/SQRT(G20^2+G18)</f>
        <v>0.20990416498041362</v>
      </c>
      <c r="H25" s="40">
        <f t="shared" si="30"/>
        <v>0.12880916447824187</v>
      </c>
      <c r="I25" s="71">
        <f t="shared" ref="I25:K25" si="32">I21*SIN(ACOS(I22))/SQRT(I20^2+I18)</f>
        <v>0.33969616259437685</v>
      </c>
      <c r="J25" s="71">
        <f t="shared" si="32"/>
        <v>0.3654031836020461</v>
      </c>
      <c r="K25" s="71">
        <f t="shared" si="32"/>
        <v>0.27968047945536434</v>
      </c>
      <c r="L25" s="85">
        <f t="shared" ref="L25:O25" si="33">L21*SIN(ACOS(L22))/SQRT(L20^2+L18)</f>
        <v>0.22785792446607692</v>
      </c>
      <c r="M25" s="85">
        <f t="shared" si="33"/>
        <v>0.29876334033089219</v>
      </c>
      <c r="N25" s="85">
        <f t="shared" si="33"/>
        <v>0.33376569302207543</v>
      </c>
      <c r="O25" s="85">
        <f t="shared" si="33"/>
        <v>0.28990588637873715</v>
      </c>
      <c r="P25" s="34" t="s">
        <v>9</v>
      </c>
      <c r="Q25" s="106">
        <f>Q21*SIN(ACOS(Q22))/SQRT(Q20^2+Q18)</f>
        <v>0.15083295431421684</v>
      </c>
      <c r="R25" s="106">
        <f t="shared" ref="R25:T25" si="34">R21*SIN(ACOS(R22))/SQRT(R20^2+R18)</f>
        <v>0.16830638604334255</v>
      </c>
      <c r="S25" s="106">
        <f t="shared" si="34"/>
        <v>0.19539025031816631</v>
      </c>
      <c r="T25" s="106">
        <f t="shared" si="34"/>
        <v>0.16276475697195283</v>
      </c>
    </row>
    <row r="26" spans="1:26" x14ac:dyDescent="0.2">
      <c r="A26" s="33" t="s">
        <v>11</v>
      </c>
      <c r="B26" s="16" t="s">
        <v>25</v>
      </c>
      <c r="C26" s="41">
        <f t="shared" ref="C26:K26" si="35">ASIN(C25)*180/3.14159</f>
        <v>11.235283828852049</v>
      </c>
      <c r="D26" s="42">
        <f t="shared" si="35"/>
        <v>14.36418671348361</v>
      </c>
      <c r="E26" s="42">
        <f t="shared" si="35"/>
        <v>15.96112758181641</v>
      </c>
      <c r="F26" s="42">
        <f t="shared" ref="F26:H26" si="36">ASIN(F25)*180/3.14159</f>
        <v>9.8913558902957472</v>
      </c>
      <c r="G26" s="42">
        <f t="shared" ref="G26" si="37">ASIN(G25)*180/3.14159</f>
        <v>12.116746363405195</v>
      </c>
      <c r="H26" s="42">
        <f t="shared" si="36"/>
        <v>7.4007901644024408</v>
      </c>
      <c r="I26" s="73">
        <f t="shared" si="35"/>
        <v>19.858380514225868</v>
      </c>
      <c r="J26" s="73">
        <f t="shared" si="35"/>
        <v>21.432415516257116</v>
      </c>
      <c r="K26" s="73">
        <f t="shared" si="35"/>
        <v>16.241149374019152</v>
      </c>
      <c r="L26" s="88">
        <f t="shared" ref="L26:O26" si="38">ASIN(L25)*180/3.14159</f>
        <v>13.171002660305174</v>
      </c>
      <c r="M26" s="88">
        <f t="shared" si="38"/>
        <v>17.383356300602209</v>
      </c>
      <c r="N26" s="88">
        <f t="shared" si="38"/>
        <v>19.497514317206985</v>
      </c>
      <c r="O26" s="88">
        <f t="shared" si="38"/>
        <v>16.852335896730864</v>
      </c>
      <c r="P26" s="34" t="s">
        <v>11</v>
      </c>
      <c r="Q26" s="107">
        <f t="shared" ref="Q26:T26" si="39">ASIN(Q25)*180/3.14159</f>
        <v>8.6752078812903459</v>
      </c>
      <c r="R26" s="107">
        <f t="shared" si="39"/>
        <v>9.6893715267828355</v>
      </c>
      <c r="S26" s="107">
        <f t="shared" si="39"/>
        <v>11.267531343064212</v>
      </c>
      <c r="T26" s="107">
        <f t="shared" si="39"/>
        <v>9.3674171070101178</v>
      </c>
      <c r="U26" s="1" t="s">
        <v>186</v>
      </c>
    </row>
    <row r="27" spans="1:26" s="1" customFormat="1" x14ac:dyDescent="0.2">
      <c r="A27" s="33" t="s">
        <v>122</v>
      </c>
      <c r="B27" s="16" t="s">
        <v>25</v>
      </c>
      <c r="C27" s="41">
        <f>C26</f>
        <v>11.235283828852049</v>
      </c>
      <c r="D27" s="41">
        <f t="shared" ref="D27:K27" si="40">D26</f>
        <v>14.36418671348361</v>
      </c>
      <c r="E27" s="41">
        <f t="shared" si="40"/>
        <v>15.96112758181641</v>
      </c>
      <c r="F27" s="41">
        <f t="shared" ref="F27:H27" si="41">F26</f>
        <v>9.8913558902957472</v>
      </c>
      <c r="G27" s="41">
        <f t="shared" ref="G27" si="42">G26</f>
        <v>12.116746363405195</v>
      </c>
      <c r="H27" s="41">
        <f t="shared" si="41"/>
        <v>7.4007901644024408</v>
      </c>
      <c r="I27" s="74">
        <f t="shared" si="40"/>
        <v>19.858380514225868</v>
      </c>
      <c r="J27" s="74">
        <f t="shared" si="40"/>
        <v>21.432415516257116</v>
      </c>
      <c r="K27" s="74">
        <f t="shared" si="40"/>
        <v>16.241149374019152</v>
      </c>
      <c r="L27" s="89">
        <f t="shared" ref="L27:O27" si="43">L26</f>
        <v>13.171002660305174</v>
      </c>
      <c r="M27" s="89">
        <f t="shared" si="43"/>
        <v>17.383356300602209</v>
      </c>
      <c r="N27" s="89">
        <f t="shared" si="43"/>
        <v>19.497514317206985</v>
      </c>
      <c r="O27" s="89">
        <f t="shared" si="43"/>
        <v>16.852335896730864</v>
      </c>
      <c r="P27" s="34" t="str">
        <f>A27</f>
        <v>SHMS</v>
      </c>
      <c r="Q27" s="108">
        <f t="shared" ref="Q27:T27" si="44">Q26</f>
        <v>8.6752078812903459</v>
      </c>
      <c r="R27" s="108">
        <f t="shared" si="44"/>
        <v>9.6893715267828355</v>
      </c>
      <c r="S27" s="108">
        <f t="shared" si="44"/>
        <v>11.267531343064212</v>
      </c>
      <c r="T27" s="108">
        <f t="shared" si="44"/>
        <v>9.3674171070101178</v>
      </c>
      <c r="U27" s="1" t="s">
        <v>187</v>
      </c>
      <c r="V27"/>
      <c r="W27"/>
      <c r="X27"/>
      <c r="Y27"/>
      <c r="Z27"/>
    </row>
    <row r="28" spans="1:26" s="1" customFormat="1" x14ac:dyDescent="0.2">
      <c r="A28" s="33" t="s">
        <v>197</v>
      </c>
      <c r="B28" s="16" t="s">
        <v>25</v>
      </c>
      <c r="C28" s="41">
        <f>C24+C27</f>
        <v>39.576184476576529</v>
      </c>
      <c r="D28" s="41">
        <f t="shared" ref="D28:I28" si="45">D24+D27</f>
        <v>31.37384902918776</v>
      </c>
      <c r="E28" s="41">
        <f t="shared" si="45"/>
        <v>28.334343430323727</v>
      </c>
      <c r="F28" s="41">
        <f t="shared" si="45"/>
        <v>34.664234371418935</v>
      </c>
      <c r="G28" s="41">
        <f t="shared" si="45"/>
        <v>28.551381324388441</v>
      </c>
      <c r="H28" s="41">
        <f t="shared" si="45"/>
        <v>34.249745360260022</v>
      </c>
      <c r="I28" s="74">
        <f t="shared" si="45"/>
        <v>36.3706150400916</v>
      </c>
      <c r="J28" s="74">
        <f t="shared" ref="J28" si="46">J24+J27</f>
        <v>33.80428875417239</v>
      </c>
      <c r="K28" s="74">
        <f t="shared" ref="K28" si="47">K24+K27</f>
        <v>32.86040837767186</v>
      </c>
      <c r="L28" s="89">
        <f t="shared" ref="L28" si="48">L24+L27</f>
        <v>51.307171960252859</v>
      </c>
      <c r="M28" s="89">
        <f t="shared" ref="M28" si="49">M24+M27</f>
        <v>39.870761280774246</v>
      </c>
      <c r="N28" s="89">
        <f t="shared" ref="N28" si="50">N24+N27</f>
        <v>35.771715139898191</v>
      </c>
      <c r="O28" s="89">
        <f t="shared" ref="O28:Q28" si="51">O24+O27</f>
        <v>35.828405619275507</v>
      </c>
      <c r="P28" s="164" t="s">
        <v>199</v>
      </c>
      <c r="Q28" s="163">
        <f t="shared" si="51"/>
        <v>33.804021714364929</v>
      </c>
      <c r="R28" s="163">
        <f t="shared" ref="R28" si="52">R24+R27</f>
        <v>26.914159247672671</v>
      </c>
      <c r="S28" s="163">
        <f t="shared" ref="S28" si="53">S24+S27</f>
        <v>23.236023131809944</v>
      </c>
      <c r="T28" s="163">
        <f t="shared" ref="T28" si="54">T24+T27</f>
        <v>24.379599484012893</v>
      </c>
      <c r="U28" s="1" t="s">
        <v>200</v>
      </c>
      <c r="V28"/>
      <c r="W28"/>
      <c r="X28"/>
      <c r="Y28"/>
      <c r="Z28"/>
    </row>
    <row r="29" spans="1:26" s="1" customFormat="1" x14ac:dyDescent="0.2">
      <c r="A29" s="15" t="s">
        <v>10</v>
      </c>
      <c r="B29" s="6" t="s">
        <v>26</v>
      </c>
      <c r="C29" s="60">
        <f t="shared" ref="C29:K29" si="55">C19*MProton/SQRT(1-C19)</f>
        <v>0.42223499999999997</v>
      </c>
      <c r="D29" s="60">
        <f t="shared" si="55"/>
        <v>0.42223499999999997</v>
      </c>
      <c r="E29" s="60">
        <f t="shared" si="55"/>
        <v>0.42223499999999997</v>
      </c>
      <c r="F29" s="60">
        <f t="shared" si="55"/>
        <v>0.42223499999999997</v>
      </c>
      <c r="G29" s="60">
        <f t="shared" ref="G29" si="56">G19*MProton/SQRT(1-G19)</f>
        <v>0.42223499999999997</v>
      </c>
      <c r="H29" s="60">
        <f t="shared" si="55"/>
        <v>0.42223499999999997</v>
      </c>
      <c r="I29" s="72">
        <f t="shared" si="55"/>
        <v>0.6634782927873375</v>
      </c>
      <c r="J29" s="72">
        <f t="shared" si="55"/>
        <v>0.6634782927873375</v>
      </c>
      <c r="K29" s="72">
        <f t="shared" si="55"/>
        <v>0.6634782927873375</v>
      </c>
      <c r="L29" s="87">
        <f t="shared" ref="L29:O29" si="57">L19*MProton/SQRT(1-L19)</f>
        <v>0.89014953856079715</v>
      </c>
      <c r="M29" s="87">
        <f t="shared" si="57"/>
        <v>0.89014953856079715</v>
      </c>
      <c r="N29" s="87">
        <f t="shared" si="57"/>
        <v>0.89014953856079715</v>
      </c>
      <c r="O29" s="87">
        <f t="shared" si="57"/>
        <v>0.89014953856079715</v>
      </c>
      <c r="P29" s="34" t="s">
        <v>10</v>
      </c>
      <c r="Q29" s="106">
        <f>Q19*MProton/SQRT(1-Q19)</f>
        <v>0.25831293970889774</v>
      </c>
      <c r="R29" s="106">
        <f>R19*MProton/SQRT(1-R19)</f>
        <v>0.25831293970889774</v>
      </c>
      <c r="S29" s="106">
        <f>S19*MProton/SQRT(1-S19)</f>
        <v>0.25831293970889774</v>
      </c>
      <c r="T29" s="106">
        <f>T19*MProton/SQRT(1-T19)</f>
        <v>0.27086387879031293</v>
      </c>
      <c r="U29"/>
      <c r="V29"/>
      <c r="W29"/>
      <c r="X29"/>
      <c r="Y29"/>
      <c r="Z29"/>
    </row>
    <row r="30" spans="1:26" x14ac:dyDescent="0.2">
      <c r="A30" s="15" t="s">
        <v>12</v>
      </c>
      <c r="B30" s="6"/>
      <c r="C30" s="60">
        <f t="shared" ref="C30:K30" si="58">1/(1-C23)</f>
        <v>2.03563265996655</v>
      </c>
      <c r="D30" s="40">
        <f t="shared" si="58"/>
        <v>3.9525433952074902</v>
      </c>
      <c r="E30" s="40">
        <f t="shared" si="58"/>
        <v>6.6188838322944719</v>
      </c>
      <c r="F30" s="40">
        <f t="shared" ref="F30:H30" si="59">1/(1-F23)</f>
        <v>2.0617106725779499</v>
      </c>
      <c r="G30" s="40">
        <f t="shared" ref="G30" si="60">1/(1-G23)</f>
        <v>3.4554763002271871</v>
      </c>
      <c r="H30" s="40">
        <f t="shared" si="59"/>
        <v>1.6724878818824864</v>
      </c>
      <c r="I30" s="71">
        <f t="shared" si="58"/>
        <v>5.8845173693579076</v>
      </c>
      <c r="J30" s="71">
        <f t="shared" si="58"/>
        <v>9.7542584213968855</v>
      </c>
      <c r="K30" s="71">
        <f t="shared" si="58"/>
        <v>4.6327599378444235</v>
      </c>
      <c r="L30" s="85">
        <f t="shared" ref="L30:O30" si="61">1/(1-L23)</f>
        <v>1.833175868853026</v>
      </c>
      <c r="M30" s="85">
        <f t="shared" si="61"/>
        <v>3.5188582636291055</v>
      </c>
      <c r="N30" s="85">
        <f t="shared" si="61"/>
        <v>5.8693034362470859</v>
      </c>
      <c r="O30" s="85">
        <f t="shared" si="61"/>
        <v>4.1226006277423481</v>
      </c>
      <c r="P30" s="34" t="s">
        <v>12</v>
      </c>
      <c r="Q30" s="106">
        <f t="shared" ref="Q30:T30" si="62">1/(1-Q23)</f>
        <v>1.88664907474249</v>
      </c>
      <c r="R30" s="106">
        <f t="shared" si="62"/>
        <v>2.6986708780976794</v>
      </c>
      <c r="S30" s="106">
        <f t="shared" si="62"/>
        <v>4.5460770089995801</v>
      </c>
      <c r="T30" s="106">
        <f t="shared" si="62"/>
        <v>2.9685802305838469</v>
      </c>
    </row>
    <row r="31" spans="1:26" x14ac:dyDescent="0.2">
      <c r="A31" s="15" t="s">
        <v>13</v>
      </c>
      <c r="B31" s="6" t="s">
        <v>26</v>
      </c>
      <c r="C31" s="60">
        <f>SQRT(C18+C20^2)</f>
        <v>4.7664890210539861</v>
      </c>
      <c r="D31" s="40">
        <f>SQRT(D18+D20^2)</f>
        <v>4.7664890210539861</v>
      </c>
      <c r="E31" s="40">
        <f>SQRT(E18+E20^2)</f>
        <v>4.7664890210539861</v>
      </c>
      <c r="F31" s="40">
        <f t="shared" ref="F31:H31" si="63">SQRT(F18+F20^2)</f>
        <v>6.2495393732947404</v>
      </c>
      <c r="G31" s="40">
        <f t="shared" ref="G31" si="64">SQRT(G18+G20^2)</f>
        <v>6.2495393732947404</v>
      </c>
      <c r="H31" s="40">
        <f t="shared" si="63"/>
        <v>8.4722578784577358</v>
      </c>
      <c r="I31" s="71">
        <f t="shared" ref="I31:K31" si="65">SQRT(I18+I20^2)</f>
        <v>4.0657462436016489</v>
      </c>
      <c r="J31" s="71">
        <f t="shared" si="65"/>
        <v>4.0657462436016489</v>
      </c>
      <c r="K31" s="71">
        <f t="shared" si="65"/>
        <v>5.5650442907920441</v>
      </c>
      <c r="L31" s="85">
        <f t="shared" ref="L31:O31" si="66">SQRT(L18+L20^2)</f>
        <v>5.0612332546896548</v>
      </c>
      <c r="M31" s="85">
        <f t="shared" si="66"/>
        <v>5.0612332546896548</v>
      </c>
      <c r="N31" s="85">
        <f t="shared" si="66"/>
        <v>5.0612332546896548</v>
      </c>
      <c r="O31" s="85">
        <f t="shared" si="66"/>
        <v>5.8648070152795801</v>
      </c>
      <c r="P31" s="34" t="s">
        <v>13</v>
      </c>
      <c r="Q31" s="106">
        <f>SQRT(Q18+Q20^2)</f>
        <v>4.8826896164491727</v>
      </c>
      <c r="R31" s="106">
        <f t="shared" ref="R31:T31" si="67">SQRT(R18+R20^2)</f>
        <v>5.5494108990479862</v>
      </c>
      <c r="S31" s="106">
        <f t="shared" si="67"/>
        <v>5.5494108990479862</v>
      </c>
      <c r="T31" s="106">
        <f t="shared" si="67"/>
        <v>6.6249667403029662</v>
      </c>
    </row>
    <row r="32" spans="1:26" x14ac:dyDescent="0.2">
      <c r="A32" s="15" t="s">
        <v>95</v>
      </c>
      <c r="B32" s="6" t="s">
        <v>23</v>
      </c>
      <c r="C32" s="60">
        <f t="shared" ref="C32:O32" si="68">C18*(1-C19)/(C19*2*(MProton+C20-C31))</f>
        <v>4.3539827293905162</v>
      </c>
      <c r="D32" s="40">
        <f t="shared" si="68"/>
        <v>4.3539827293905162</v>
      </c>
      <c r="E32" s="40">
        <f t="shared" si="68"/>
        <v>4.3539827293905162</v>
      </c>
      <c r="F32" s="40">
        <f t="shared" si="68"/>
        <v>5.832278259123389</v>
      </c>
      <c r="G32" s="40">
        <f t="shared" si="68"/>
        <v>5.832278259123389</v>
      </c>
      <c r="H32" s="40">
        <f t="shared" si="68"/>
        <v>8.0509581684893554</v>
      </c>
      <c r="I32" s="71">
        <f t="shared" si="68"/>
        <v>3.4265329735142718</v>
      </c>
      <c r="J32" s="71">
        <f t="shared" si="68"/>
        <v>3.4265329735142718</v>
      </c>
      <c r="K32" s="71">
        <f t="shared" si="68"/>
        <v>4.9090760605919259</v>
      </c>
      <c r="L32" s="85">
        <f t="shared" si="68"/>
        <v>4.1816824687716201</v>
      </c>
      <c r="M32" s="85">
        <f t="shared" si="68"/>
        <v>4.1816824687716201</v>
      </c>
      <c r="N32" s="85">
        <f t="shared" si="68"/>
        <v>4.1816824687716201</v>
      </c>
      <c r="O32" s="85">
        <f t="shared" si="68"/>
        <v>4.9716728097666643</v>
      </c>
      <c r="P32" s="34" t="s">
        <v>14</v>
      </c>
      <c r="Q32" s="106">
        <f>Q18*(1-Q19)/(Q19*2*(MProton+Q20-Q31))</f>
        <v>4.6289965536948072</v>
      </c>
      <c r="R32" s="106">
        <f>R18*(1-R19)/(R19*2*(MProton+R20-R31))</f>
        <v>5.2948743130390685</v>
      </c>
      <c r="S32" s="106">
        <f>S18*(1-S19)/(S19*2*(MProton+S20-S31))</f>
        <v>5.2948743130390685</v>
      </c>
      <c r="T32" s="106">
        <f>T18*(1-T19)/(T19*2*(MProton+T20-T31))</f>
        <v>6.357040351098628</v>
      </c>
    </row>
    <row r="33" spans="1:29" x14ac:dyDescent="0.2">
      <c r="A33" s="15" t="s">
        <v>15</v>
      </c>
      <c r="B33" s="6" t="s">
        <v>24</v>
      </c>
      <c r="C33" s="60">
        <f>-C18-2*C32*(C20-C31)</f>
        <v>-0.16264934335909143</v>
      </c>
      <c r="D33" s="40">
        <f>-D18-2*D32*(D20-D31)</f>
        <v>-0.16264934335909143</v>
      </c>
      <c r="E33" s="40">
        <f>-E18-2*E32*(E20-E31)</f>
        <v>-0.16264934335909143</v>
      </c>
      <c r="F33" s="40">
        <f t="shared" ref="F33:H33" si="69">-F18-2*F32*(F20-F31)</f>
        <v>-0.1662577300401602</v>
      </c>
      <c r="G33" s="40">
        <f t="shared" ref="G33" si="70">-G18-2*G32*(G20-G31)</f>
        <v>-0.1662577300401602</v>
      </c>
      <c r="H33" s="40">
        <f t="shared" si="69"/>
        <v>-0.16934967879065521</v>
      </c>
      <c r="I33" s="71">
        <f>-I18-2*I32*(I20-I31)</f>
        <v>-0.3697682219031182</v>
      </c>
      <c r="J33" s="71">
        <f t="shared" ref="J33:L33" si="71">-J18-2*J32*(J20-J31)</f>
        <v>-0.3697682219031182</v>
      </c>
      <c r="K33" s="71">
        <f t="shared" si="71"/>
        <v>-0.38762786469319188</v>
      </c>
      <c r="L33" s="85">
        <f t="shared" si="71"/>
        <v>-0.6526546791031782</v>
      </c>
      <c r="M33" s="85">
        <f t="shared" ref="M33" si="72">-M18-2*M32*(M20-M31)</f>
        <v>-0.6526546791031782</v>
      </c>
      <c r="N33" s="85">
        <f t="shared" ref="N33" si="73">-N18-2*N32*(N20-N31)</f>
        <v>-0.6526546791031782</v>
      </c>
      <c r="O33" s="85">
        <f t="shared" ref="O33" si="74">-O18-2*O32*(O20-O31)</f>
        <v>-0.6701588051918792</v>
      </c>
      <c r="P33" s="34" t="s">
        <v>15</v>
      </c>
      <c r="Q33" s="106">
        <f>-Q18-2*Q32*(Q20-Q31)</f>
        <v>-6.3225067336325491E-2</v>
      </c>
      <c r="R33" s="106">
        <f t="shared" ref="R33:T33" si="75">-R18-2*R32*(R20-R31)</f>
        <v>-6.3638864150883379E-2</v>
      </c>
      <c r="S33" s="106">
        <f t="shared" si="75"/>
        <v>-6.3638864150883379E-2</v>
      </c>
      <c r="T33" s="106">
        <f t="shared" si="75"/>
        <v>-7.0378077128316008E-2</v>
      </c>
    </row>
    <row r="34" spans="1:29" x14ac:dyDescent="0.2">
      <c r="A34" s="15" t="s">
        <v>16</v>
      </c>
      <c r="B34" s="6" t="s">
        <v>23</v>
      </c>
      <c r="C34" s="60">
        <f t="shared" ref="C34:K34" si="76">SQRT(-C33)</f>
        <v>0.40329808251353172</v>
      </c>
      <c r="D34" s="40">
        <f t="shared" si="76"/>
        <v>0.40329808251353172</v>
      </c>
      <c r="E34" s="40">
        <f t="shared" si="76"/>
        <v>0.40329808251353172</v>
      </c>
      <c r="F34" s="40">
        <f t="shared" si="76"/>
        <v>0.40774713983075367</v>
      </c>
      <c r="G34" s="40">
        <f t="shared" ref="G34" si="77">SQRT(-G33)</f>
        <v>0.40774713983075367</v>
      </c>
      <c r="H34" s="40">
        <f t="shared" si="76"/>
        <v>0.41152117660049431</v>
      </c>
      <c r="I34" s="71">
        <f t="shared" si="76"/>
        <v>0.60808570276164053</v>
      </c>
      <c r="J34" s="71">
        <f t="shared" si="76"/>
        <v>0.60808570276164053</v>
      </c>
      <c r="K34" s="71">
        <f t="shared" si="76"/>
        <v>0.62259767482154305</v>
      </c>
      <c r="L34" s="85">
        <f t="shared" ref="L34:O34" si="78">SQRT(-L33)</f>
        <v>0.8078704593579209</v>
      </c>
      <c r="M34" s="85">
        <f t="shared" si="78"/>
        <v>0.8078704593579209</v>
      </c>
      <c r="N34" s="85">
        <f t="shared" si="78"/>
        <v>0.8078704593579209</v>
      </c>
      <c r="O34" s="85">
        <f t="shared" si="78"/>
        <v>0.81863227715005182</v>
      </c>
      <c r="P34" s="34" t="s">
        <v>16</v>
      </c>
      <c r="Q34" s="106">
        <f t="shared" ref="Q34:T34" si="79">SQRT(-Q33)</f>
        <v>0.25144595311184764</v>
      </c>
      <c r="R34" s="106">
        <f t="shared" si="79"/>
        <v>0.25226744568192577</v>
      </c>
      <c r="S34" s="106">
        <f t="shared" si="79"/>
        <v>0.25226744568192577</v>
      </c>
      <c r="T34" s="106">
        <f t="shared" si="79"/>
        <v>0.26528866754596964</v>
      </c>
    </row>
    <row r="35" spans="1:29" x14ac:dyDescent="0.2">
      <c r="A35" s="15" t="s">
        <v>17</v>
      </c>
      <c r="B35" s="6" t="s">
        <v>70</v>
      </c>
      <c r="C35" s="60">
        <v>3</v>
      </c>
      <c r="D35" s="40">
        <v>3</v>
      </c>
      <c r="E35" s="40">
        <v>3</v>
      </c>
      <c r="F35" s="40">
        <v>4</v>
      </c>
      <c r="G35" s="40">
        <v>3</v>
      </c>
      <c r="H35" s="40">
        <v>4</v>
      </c>
      <c r="I35" s="71">
        <v>3</v>
      </c>
      <c r="J35" s="71">
        <v>3</v>
      </c>
      <c r="K35" s="71">
        <v>3</v>
      </c>
      <c r="L35" s="85">
        <v>3</v>
      </c>
      <c r="M35" s="85">
        <v>3</v>
      </c>
      <c r="N35" s="85">
        <v>3</v>
      </c>
      <c r="O35" s="85">
        <v>3</v>
      </c>
      <c r="P35" s="34" t="s">
        <v>17</v>
      </c>
      <c r="Q35" s="106">
        <v>6</v>
      </c>
      <c r="R35" s="106">
        <v>4</v>
      </c>
      <c r="S35" s="106">
        <v>4</v>
      </c>
      <c r="T35" s="106">
        <v>6</v>
      </c>
    </row>
    <row r="36" spans="1:29" x14ac:dyDescent="0.2">
      <c r="A36" s="21" t="s">
        <v>22</v>
      </c>
      <c r="B36" s="7" t="s">
        <v>71</v>
      </c>
      <c r="C36" s="61">
        <f t="shared" ref="C36:Q36" si="80">Calo_C/(C35*C35)</f>
        <v>4.2311111111111112E-2</v>
      </c>
      <c r="D36" s="24">
        <f t="shared" si="80"/>
        <v>4.2311111111111112E-2</v>
      </c>
      <c r="E36" s="24">
        <f t="shared" si="80"/>
        <v>4.2311111111111112E-2</v>
      </c>
      <c r="F36" s="24">
        <f t="shared" si="80"/>
        <v>2.3800000000000002E-2</v>
      </c>
      <c r="G36" s="24">
        <f t="shared" si="80"/>
        <v>4.2311111111111112E-2</v>
      </c>
      <c r="H36" s="24">
        <f t="shared" si="80"/>
        <v>2.3800000000000002E-2</v>
      </c>
      <c r="I36" s="75">
        <f t="shared" si="80"/>
        <v>4.2311111111111112E-2</v>
      </c>
      <c r="J36" s="75">
        <f t="shared" si="80"/>
        <v>4.2311111111111112E-2</v>
      </c>
      <c r="K36" s="75">
        <f t="shared" si="80"/>
        <v>4.2311111111111112E-2</v>
      </c>
      <c r="L36" s="90">
        <f t="shared" si="80"/>
        <v>4.2311111111111112E-2</v>
      </c>
      <c r="M36" s="90">
        <f t="shared" si="80"/>
        <v>4.2311111111111112E-2</v>
      </c>
      <c r="N36" s="90">
        <f t="shared" si="80"/>
        <v>4.2311111111111112E-2</v>
      </c>
      <c r="O36" s="90">
        <f t="shared" si="80"/>
        <v>4.2311111111111112E-2</v>
      </c>
      <c r="P36" s="48" t="s">
        <v>22</v>
      </c>
      <c r="Q36" s="109">
        <f t="shared" si="80"/>
        <v>1.0577777777777778E-2</v>
      </c>
      <c r="R36" s="109">
        <f t="shared" ref="R36" si="81">Calo_C/(R35*R35)</f>
        <v>2.3800000000000002E-2</v>
      </c>
      <c r="S36" s="109">
        <f t="shared" ref="S36" si="82">Calo_C/(S35*S35)</f>
        <v>2.3800000000000002E-2</v>
      </c>
      <c r="T36" s="109">
        <f t="shared" ref="T36" si="83">Calo_C/(T35*T35)</f>
        <v>1.0577777777777778E-2</v>
      </c>
      <c r="U36" s="4"/>
    </row>
    <row r="37" spans="1:29" s="4" customFormat="1" x14ac:dyDescent="0.2">
      <c r="A37" s="21" t="s">
        <v>31</v>
      </c>
      <c r="B37" s="7" t="s">
        <v>72</v>
      </c>
      <c r="C37" s="61">
        <f>SQRT(C36/4)</f>
        <v>0.10284832413694342</v>
      </c>
      <c r="D37" s="24">
        <f t="shared" ref="D37:K37" si="84">SQRT(D36/4)</f>
        <v>0.10284832413694342</v>
      </c>
      <c r="E37" s="24">
        <f t="shared" si="84"/>
        <v>0.10284832413694342</v>
      </c>
      <c r="F37" s="24">
        <f t="shared" ref="F37:H37" si="85">SQRT(F36/4)</f>
        <v>7.7136243102707572E-2</v>
      </c>
      <c r="G37" s="24">
        <f t="shared" si="85"/>
        <v>0.10284832413694342</v>
      </c>
      <c r="H37" s="24">
        <f t="shared" si="85"/>
        <v>7.7136243102707572E-2</v>
      </c>
      <c r="I37" s="75">
        <f t="shared" si="84"/>
        <v>0.10284832413694342</v>
      </c>
      <c r="J37" s="75">
        <f t="shared" si="84"/>
        <v>0.10284832413694342</v>
      </c>
      <c r="K37" s="75">
        <f t="shared" si="84"/>
        <v>0.10284832413694342</v>
      </c>
      <c r="L37" s="90">
        <f t="shared" ref="L37:O37" si="86">SQRT(L36/4)</f>
        <v>0.10284832413694342</v>
      </c>
      <c r="M37" s="90">
        <f t="shared" si="86"/>
        <v>0.10284832413694342</v>
      </c>
      <c r="N37" s="90">
        <f t="shared" si="86"/>
        <v>0.10284832413694342</v>
      </c>
      <c r="O37" s="90">
        <f t="shared" si="86"/>
        <v>0.10284832413694342</v>
      </c>
      <c r="P37" s="48" t="s">
        <v>31</v>
      </c>
      <c r="Q37" s="109">
        <f t="shared" ref="Q37:T37" si="87">SQRT(Q36/4)</f>
        <v>5.142416206847171E-2</v>
      </c>
      <c r="R37" s="109">
        <f t="shared" si="87"/>
        <v>7.7136243102707572E-2</v>
      </c>
      <c r="S37" s="109">
        <f t="shared" si="87"/>
        <v>7.7136243102707572E-2</v>
      </c>
      <c r="T37" s="109">
        <f t="shared" si="87"/>
        <v>5.142416206847171E-2</v>
      </c>
      <c r="V37"/>
      <c r="W37"/>
      <c r="X37"/>
      <c r="Y37"/>
      <c r="Z37"/>
    </row>
    <row r="38" spans="1:29" s="4" customFormat="1" x14ac:dyDescent="0.2">
      <c r="A38" s="27" t="s">
        <v>32</v>
      </c>
      <c r="B38" s="28" t="s">
        <v>23</v>
      </c>
      <c r="C38" s="22">
        <f t="shared" ref="C38:O38" si="88">C18*(1/C19-1)/(2*(MProton+C20-C31*COS(C37)))</f>
        <v>4.1820010097605351</v>
      </c>
      <c r="D38" s="23">
        <f t="shared" si="88"/>
        <v>4.1820010097605351</v>
      </c>
      <c r="E38" s="23">
        <f t="shared" si="88"/>
        <v>4.1820010097605351</v>
      </c>
      <c r="F38" s="23">
        <f t="shared" si="88"/>
        <v>5.6597548552503811</v>
      </c>
      <c r="G38" s="23">
        <f t="shared" si="88"/>
        <v>5.5325774830117691</v>
      </c>
      <c r="H38" s="23">
        <f t="shared" si="88"/>
        <v>7.7302558786486379</v>
      </c>
      <c r="I38" s="76">
        <f t="shared" si="88"/>
        <v>3.2843092973011649</v>
      </c>
      <c r="J38" s="76">
        <f t="shared" si="88"/>
        <v>3.2843092973011649</v>
      </c>
      <c r="K38" s="76">
        <f t="shared" si="88"/>
        <v>4.6305466892362377</v>
      </c>
      <c r="L38" s="92">
        <f t="shared" si="88"/>
        <v>3.9235630343749341</v>
      </c>
      <c r="M38" s="92">
        <f t="shared" si="88"/>
        <v>3.9235630343749341</v>
      </c>
      <c r="N38" s="92">
        <f t="shared" si="88"/>
        <v>3.9235630343749341</v>
      </c>
      <c r="O38" s="92">
        <f t="shared" si="88"/>
        <v>4.6160585513176047</v>
      </c>
      <c r="P38" s="58" t="s">
        <v>32</v>
      </c>
      <c r="Q38" s="110">
        <f>Q18*(1/Q19-1)/(2*(MProton+Q20-Q31*COS(Q37)))</f>
        <v>4.5877711595212496</v>
      </c>
      <c r="R38" s="110">
        <f>R18*(1/R19-1)/(2*(MProton+R20-R31*COS(R37)))</f>
        <v>5.1758669941800663</v>
      </c>
      <c r="S38" s="110">
        <f>S18*(1/S19-1)/(2*(MProton+S20-S31*COS(S37)))</f>
        <v>5.1758669941800663</v>
      </c>
      <c r="T38" s="110">
        <f>T18*(1/T19-1)/(2*(MProton+T20-T31*COS(T37)))</f>
        <v>6.2793530909464366</v>
      </c>
      <c r="U38" s="3"/>
      <c r="V38"/>
      <c r="W38"/>
      <c r="X38"/>
      <c r="Y38"/>
      <c r="Z38"/>
    </row>
    <row r="39" spans="1:29" s="3" customFormat="1" x14ac:dyDescent="0.2">
      <c r="A39" s="27" t="s">
        <v>33</v>
      </c>
      <c r="B39" s="28" t="s">
        <v>24</v>
      </c>
      <c r="C39" s="22">
        <f>-C18-2*C38*(C20-C31*COS(C37))</f>
        <v>-0.48539023841671369</v>
      </c>
      <c r="D39" s="23">
        <f>-D18-2*D38*(D20-D31*COS(D37))</f>
        <v>-0.48539023841671369</v>
      </c>
      <c r="E39" s="23">
        <f>-E18-2*E38*(E20-E31*COS(E37))</f>
        <v>-0.48539023841671369</v>
      </c>
      <c r="F39" s="23">
        <f t="shared" ref="F39:H39" si="89">-F18-2*F38*(F20-F31*COS(F37))</f>
        <v>-0.49001514974824589</v>
      </c>
      <c r="G39" s="23">
        <f t="shared" si="89"/>
        <v>-0.728676206491226</v>
      </c>
      <c r="H39" s="23">
        <f t="shared" si="89"/>
        <v>-0.77117959590574348</v>
      </c>
      <c r="I39" s="76">
        <f>-I18-2*I38*(I20-I31*COS(I37))</f>
        <v>-0.63666517268463441</v>
      </c>
      <c r="J39" s="76">
        <f t="shared" ref="J39" si="90">-J18-2*J38*(J20-J31*COS(J37))</f>
        <v>-0.63666517268463441</v>
      </c>
      <c r="K39" s="76">
        <f t="shared" ref="K39:L39" si="91">-K18-2*K38*(K20-K31*COS(K37))</f>
        <v>-0.91031608297927713</v>
      </c>
      <c r="L39" s="92">
        <f t="shared" si="91"/>
        <v>-1.1370416096919991</v>
      </c>
      <c r="M39" s="92">
        <f t="shared" ref="M39" si="92">-M18-2*M38*(M20-M31*COS(M37))</f>
        <v>-1.1370416096919991</v>
      </c>
      <c r="N39" s="92">
        <f t="shared" ref="N39" si="93">-N18-2*N38*(N20-N31*COS(N37))</f>
        <v>-1.1370416096919991</v>
      </c>
      <c r="O39" s="92">
        <f t="shared" ref="O39" si="94">-O18-2*O38*(O20-O31*COS(O37))</f>
        <v>-1.3375045225973841</v>
      </c>
      <c r="P39" s="58" t="s">
        <v>33</v>
      </c>
      <c r="Q39" s="110">
        <f>-Q18-2*Q38*(Q20-Q31*COS(Q37))</f>
        <v>-0.14058864204242472</v>
      </c>
      <c r="R39" s="110">
        <f t="shared" ref="R39:T39" si="95">-R18-2*R38*(R20-R31*COS(R37))</f>
        <v>-0.28696799872168866</v>
      </c>
      <c r="S39" s="110">
        <f t="shared" si="95"/>
        <v>-0.28696799872168866</v>
      </c>
      <c r="T39" s="110">
        <f t="shared" si="95"/>
        <v>-0.21616598952991861</v>
      </c>
      <c r="V39"/>
      <c r="W39"/>
      <c r="X39"/>
      <c r="Y39"/>
      <c r="Z39"/>
      <c r="AC39" s="3" t="s">
        <v>120</v>
      </c>
    </row>
    <row r="40" spans="1:29" s="3" customFormat="1" x14ac:dyDescent="0.2">
      <c r="A40" s="27" t="s">
        <v>34</v>
      </c>
      <c r="B40" s="28" t="s">
        <v>24</v>
      </c>
      <c r="C40" s="22">
        <f t="shared" ref="C40:I40" si="96">C33-C39</f>
        <v>0.32274089505762227</v>
      </c>
      <c r="D40" s="23">
        <f t="shared" si="96"/>
        <v>0.32274089505762227</v>
      </c>
      <c r="E40" s="23">
        <f t="shared" si="96"/>
        <v>0.32274089505762227</v>
      </c>
      <c r="F40" s="23">
        <f t="shared" ref="F40:H40" si="97">F33-F39</f>
        <v>0.32375741970808569</v>
      </c>
      <c r="G40" s="23">
        <f t="shared" si="97"/>
        <v>0.5624184764510658</v>
      </c>
      <c r="H40" s="23">
        <f t="shared" si="97"/>
        <v>0.60182991711508826</v>
      </c>
      <c r="I40" s="76">
        <f t="shared" si="96"/>
        <v>0.26689695078151621</v>
      </c>
      <c r="J40" s="76">
        <f t="shared" ref="J40:K40" si="98">J33-J39</f>
        <v>0.26689695078151621</v>
      </c>
      <c r="K40" s="76">
        <f t="shared" si="98"/>
        <v>0.52268821828608525</v>
      </c>
      <c r="L40" s="92">
        <f t="shared" ref="L40:O40" si="99">L33-L39</f>
        <v>0.48438693058882087</v>
      </c>
      <c r="M40" s="92">
        <f t="shared" si="99"/>
        <v>0.48438693058882087</v>
      </c>
      <c r="N40" s="92">
        <f t="shared" si="99"/>
        <v>0.48438693058882087</v>
      </c>
      <c r="O40" s="92">
        <f t="shared" si="99"/>
        <v>0.66734571740550486</v>
      </c>
      <c r="P40" s="58" t="s">
        <v>34</v>
      </c>
      <c r="Q40" s="110">
        <f t="shared" ref="Q40:T40" si="100">Q33-Q39</f>
        <v>7.7363574706099225E-2</v>
      </c>
      <c r="R40" s="110">
        <f t="shared" si="100"/>
        <v>0.22332913457080528</v>
      </c>
      <c r="S40" s="110">
        <f t="shared" si="100"/>
        <v>0.22332913457080528</v>
      </c>
      <c r="T40" s="110">
        <f t="shared" si="100"/>
        <v>0.1457879124016026</v>
      </c>
      <c r="V40"/>
      <c r="W40"/>
      <c r="X40"/>
      <c r="Y40"/>
      <c r="Z40"/>
      <c r="AB40" s="3">
        <v>0.2</v>
      </c>
      <c r="AC40" s="3">
        <f>X42</f>
        <v>0</v>
      </c>
    </row>
    <row r="41" spans="1:29" s="3" customFormat="1" x14ac:dyDescent="0.2">
      <c r="A41" s="27" t="s">
        <v>40</v>
      </c>
      <c r="B41" s="28" t="s">
        <v>39</v>
      </c>
      <c r="C41" s="22">
        <f>C$26-($H$8+0.02)/C$35*180/PI()</f>
        <v>5.5057058775438152</v>
      </c>
      <c r="D41" s="22">
        <f>D$26-($H$8+0.02)/D$35*180/PI()</f>
        <v>8.6346087621753753</v>
      </c>
      <c r="E41" s="22">
        <f t="shared" ref="E41:G41" si="101">E$26-($H$8+0.02)/E$35*180/PI()</f>
        <v>10.231549630508177</v>
      </c>
      <c r="F41" s="22">
        <f t="shared" si="101"/>
        <v>5.5941724268145725</v>
      </c>
      <c r="G41" s="22">
        <f t="shared" si="101"/>
        <v>6.387168412096961</v>
      </c>
      <c r="H41" s="22">
        <f>H$26-($H$8+0.02)/H$35*180/PI()</f>
        <v>3.103606700921266</v>
      </c>
      <c r="I41" s="77">
        <f>I$26-($H$8+0.02)/I$35*180/PI()</f>
        <v>14.128802562917635</v>
      </c>
      <c r="J41" s="77">
        <f t="shared" ref="J41:T41" si="102">J$26-($H$8+0.02)/J$35*180/PI()</f>
        <v>15.702837564948883</v>
      </c>
      <c r="K41" s="77">
        <f t="shared" si="102"/>
        <v>10.511571422710919</v>
      </c>
      <c r="L41" s="93">
        <f t="shared" si="102"/>
        <v>7.4414247089969399</v>
      </c>
      <c r="M41" s="93">
        <f t="shared" si="102"/>
        <v>11.653778349293976</v>
      </c>
      <c r="N41" s="93">
        <f t="shared" si="102"/>
        <v>13.767936365898752</v>
      </c>
      <c r="O41" s="93">
        <f t="shared" si="102"/>
        <v>11.122757945422631</v>
      </c>
      <c r="P41" s="58" t="s">
        <v>40</v>
      </c>
      <c r="Q41" s="111">
        <f t="shared" si="102"/>
        <v>5.8104189056362294</v>
      </c>
      <c r="R41" s="111">
        <f t="shared" si="102"/>
        <v>5.3921880633016608</v>
      </c>
      <c r="S41" s="111">
        <f t="shared" si="102"/>
        <v>6.9703478795830369</v>
      </c>
      <c r="T41" s="111">
        <f t="shared" si="102"/>
        <v>6.5026281313560013</v>
      </c>
      <c r="U41" s="128"/>
      <c r="V41"/>
      <c r="W41"/>
      <c r="X41"/>
      <c r="Y41"/>
      <c r="Z41"/>
      <c r="AB41" s="3">
        <v>0.2</v>
      </c>
      <c r="AC41" s="3">
        <f>X27</f>
        <v>0</v>
      </c>
    </row>
    <row r="42" spans="1:29" s="3" customFormat="1" x14ac:dyDescent="0.2">
      <c r="A42" s="27" t="s">
        <v>82</v>
      </c>
      <c r="B42" s="28" t="s">
        <v>39</v>
      </c>
      <c r="C42" s="22">
        <f>C$26-($H$8+0)/C$35*180/PI()</f>
        <v>5.8876777409643655</v>
      </c>
      <c r="D42" s="22">
        <f t="shared" ref="D42:T42" si="103">D$26-($H$8+0)/D$35*180/PI()</f>
        <v>9.0165806255959264</v>
      </c>
      <c r="E42" s="22">
        <f t="shared" si="103"/>
        <v>10.613521493928726</v>
      </c>
      <c r="F42" s="22">
        <f t="shared" si="103"/>
        <v>5.8806513243799845</v>
      </c>
      <c r="G42" s="22">
        <f t="shared" si="103"/>
        <v>6.7691402755175112</v>
      </c>
      <c r="H42" s="22">
        <f t="shared" si="103"/>
        <v>3.390085598486678</v>
      </c>
      <c r="I42" s="78">
        <f t="shared" si="103"/>
        <v>14.510774426338184</v>
      </c>
      <c r="J42" s="78">
        <f t="shared" si="103"/>
        <v>16.084809428369432</v>
      </c>
      <c r="K42" s="78">
        <f t="shared" si="103"/>
        <v>10.893543286131468</v>
      </c>
      <c r="L42" s="93">
        <f t="shared" si="103"/>
        <v>7.8233965724174901</v>
      </c>
      <c r="M42" s="93">
        <f t="shared" si="103"/>
        <v>12.035750212714525</v>
      </c>
      <c r="N42" s="93">
        <f t="shared" si="103"/>
        <v>14.149908229319301</v>
      </c>
      <c r="O42" s="93">
        <f t="shared" si="103"/>
        <v>11.50472980884318</v>
      </c>
      <c r="P42" s="27" t="s">
        <v>82</v>
      </c>
      <c r="Q42" s="111">
        <f t="shared" si="103"/>
        <v>6.0014048373465041</v>
      </c>
      <c r="R42" s="111">
        <f t="shared" si="103"/>
        <v>5.6786669608670728</v>
      </c>
      <c r="S42" s="111">
        <f t="shared" si="103"/>
        <v>7.2568267771484489</v>
      </c>
      <c r="T42" s="111">
        <f t="shared" si="103"/>
        <v>6.6936140630662759</v>
      </c>
      <c r="U42" s="128"/>
      <c r="V42"/>
      <c r="W42"/>
      <c r="X42"/>
      <c r="Y42"/>
      <c r="Z42"/>
      <c r="AB42" s="3">
        <v>0.2</v>
      </c>
      <c r="AC42" s="3">
        <f>2*AC41-AC40</f>
        <v>0</v>
      </c>
    </row>
    <row r="43" spans="1:29" s="3" customFormat="1" x14ac:dyDescent="0.2">
      <c r="A43" s="21" t="s">
        <v>27</v>
      </c>
      <c r="B43" s="7" t="s">
        <v>73</v>
      </c>
      <c r="C43" s="61">
        <f>1E+37*(C35/1.1)^2</f>
        <v>7.4380165289256191E+37</v>
      </c>
      <c r="D43" s="24">
        <f t="shared" ref="D43:K43" si="104">1E+37*(D35/1.1)^2</f>
        <v>7.4380165289256191E+37</v>
      </c>
      <c r="E43" s="24">
        <f t="shared" si="104"/>
        <v>7.4380165289256191E+37</v>
      </c>
      <c r="F43" s="24">
        <f>MIN(1E+37*(F35/1.1)^2,$U44*6.023E+23/0.00000000000016*10/15)</f>
        <v>7.5287499999999999E+37</v>
      </c>
      <c r="G43" s="24">
        <f t="shared" si="104"/>
        <v>7.4380165289256191E+37</v>
      </c>
      <c r="H43" s="24">
        <f>1E+37*(H35/1.1)^2*(H26/C26)^2</f>
        <v>5.7374999870541506E+37</v>
      </c>
      <c r="I43" s="75">
        <f t="shared" si="104"/>
        <v>7.4380165289256191E+37</v>
      </c>
      <c r="J43" s="75">
        <f t="shared" si="104"/>
        <v>7.4380165289256191E+37</v>
      </c>
      <c r="K43" s="75">
        <f t="shared" si="104"/>
        <v>7.4380165289256191E+37</v>
      </c>
      <c r="L43" s="90">
        <f t="shared" ref="L43:O43" si="105">1E+37*(L35/1.1)^2</f>
        <v>7.4380165289256191E+37</v>
      </c>
      <c r="M43" s="90">
        <f t="shared" si="105"/>
        <v>7.4380165289256191E+37</v>
      </c>
      <c r="N43" s="90">
        <f t="shared" si="105"/>
        <v>7.4380165289256191E+37</v>
      </c>
      <c r="O43" s="90">
        <f t="shared" si="105"/>
        <v>7.4380165289256191E+37</v>
      </c>
      <c r="P43" s="48" t="s">
        <v>27</v>
      </c>
      <c r="Q43" s="109">
        <f>MIN(1E+37*(Q35/1.1)^2,$U44*6.023E+23/0.00000000000016*10/15)</f>
        <v>7.5287499999999999E+37</v>
      </c>
      <c r="R43" s="109">
        <f>MIN(1E+37*(R35/1.1)^2,$U44*6.023E+23/0.00000000000016*10/15)</f>
        <v>7.5287499999999999E+37</v>
      </c>
      <c r="S43" s="109">
        <f t="shared" ref="S43:T43" si="106">MIN(1E+37*(S35/1.1)^2,$U44*6.023E+23/0.00000000000016*10/15)</f>
        <v>7.5287499999999999E+37</v>
      </c>
      <c r="T43" s="109">
        <f t="shared" si="106"/>
        <v>7.5287499999999999E+37</v>
      </c>
      <c r="U43" s="4"/>
      <c r="V43"/>
      <c r="W43"/>
      <c r="X43"/>
      <c r="Y43"/>
      <c r="Z43"/>
    </row>
    <row r="44" spans="1:29" s="4" customFormat="1" x14ac:dyDescent="0.2">
      <c r="A44" s="46" t="s">
        <v>76</v>
      </c>
      <c r="B44" s="47" t="s">
        <v>77</v>
      </c>
      <c r="C44" s="62">
        <f>C43/6.02E+23*0.00000000000016*15/10</f>
        <v>29.653222042228386</v>
      </c>
      <c r="D44" s="62">
        <f t="shared" ref="D44:H44" si="107">D43/6.02E+23*0.00000000000016*15/10</f>
        <v>29.653222042228386</v>
      </c>
      <c r="E44" s="62">
        <f t="shared" si="107"/>
        <v>29.653222042228386</v>
      </c>
      <c r="F44" s="62">
        <f t="shared" si="107"/>
        <v>30.014950166112961</v>
      </c>
      <c r="G44" s="62">
        <f t="shared" si="107"/>
        <v>29.653222042228386</v>
      </c>
      <c r="H44" s="62">
        <f t="shared" si="107"/>
        <v>22.873754101212562</v>
      </c>
      <c r="I44" s="79">
        <f t="shared" ref="I44:K44" si="108">I43/6.02E+23*0.00000000000016</f>
        <v>19.768814694818921</v>
      </c>
      <c r="J44" s="79">
        <f t="shared" si="108"/>
        <v>19.768814694818921</v>
      </c>
      <c r="K44" s="79">
        <f t="shared" si="108"/>
        <v>19.768814694818921</v>
      </c>
      <c r="L44" s="94">
        <f t="shared" ref="L44:O44" si="109">L43/6.02E+23*0.00000000000016</f>
        <v>19.768814694818921</v>
      </c>
      <c r="M44" s="94">
        <f t="shared" si="109"/>
        <v>19.768814694818921</v>
      </c>
      <c r="N44" s="94">
        <f t="shared" si="109"/>
        <v>19.768814694818921</v>
      </c>
      <c r="O44" s="94">
        <f t="shared" si="109"/>
        <v>19.768814694818921</v>
      </c>
      <c r="P44" s="48" t="s">
        <v>80</v>
      </c>
      <c r="Q44" s="112">
        <f>Q43/6.02E+23*0.00000000000016*15/10</f>
        <v>30.014950166112961</v>
      </c>
      <c r="R44" s="112">
        <f>R43/6.02E+23*0.00000000000016*15/10</f>
        <v>30.014950166112961</v>
      </c>
      <c r="S44" s="112">
        <f t="shared" ref="S44:T44" si="110">S43/6.02E+23*0.00000000000016*15/10</f>
        <v>30.014950166112961</v>
      </c>
      <c r="T44" s="112">
        <f t="shared" si="110"/>
        <v>30.014950166112961</v>
      </c>
      <c r="U44" s="138">
        <v>30</v>
      </c>
      <c r="V44" t="s">
        <v>172</v>
      </c>
      <c r="W44"/>
      <c r="X44"/>
      <c r="Y44"/>
      <c r="Z44"/>
    </row>
    <row r="45" spans="1:29" s="4" customFormat="1" x14ac:dyDescent="0.2">
      <c r="A45" s="46" t="s">
        <v>111</v>
      </c>
      <c r="B45" s="47" t="s">
        <v>112</v>
      </c>
      <c r="C45" s="62">
        <v>-0.34</v>
      </c>
      <c r="D45" s="69"/>
      <c r="E45" s="69"/>
      <c r="F45" s="69"/>
      <c r="G45" s="69"/>
      <c r="H45" s="69"/>
      <c r="I45" s="79"/>
      <c r="J45" s="79"/>
      <c r="K45" s="79"/>
      <c r="L45" s="94"/>
      <c r="M45" s="94"/>
      <c r="N45" s="94"/>
      <c r="O45" s="95"/>
      <c r="P45" s="46"/>
      <c r="Q45" s="107"/>
      <c r="R45" s="112"/>
      <c r="S45" s="112"/>
      <c r="T45" s="112"/>
      <c r="U45" s="49"/>
      <c r="V45"/>
      <c r="W45"/>
      <c r="X45"/>
      <c r="Y45"/>
      <c r="Z45"/>
    </row>
    <row r="46" spans="1:29" s="49" customFormat="1" x14ac:dyDescent="0.2">
      <c r="A46" s="67" t="s">
        <v>35</v>
      </c>
      <c r="B46" s="68" t="s">
        <v>178</v>
      </c>
      <c r="C46" s="61">
        <v>8.5000000000000006E-2</v>
      </c>
      <c r="D46" s="24"/>
      <c r="E46" s="24"/>
      <c r="F46" s="24"/>
      <c r="G46" s="24"/>
      <c r="H46" s="24"/>
      <c r="I46" s="75">
        <v>4.4660000000000004E-3</v>
      </c>
      <c r="J46" s="75">
        <v>2.3280000000000002E-3</v>
      </c>
      <c r="K46" s="75">
        <v>2.3749999999999999E-3</v>
      </c>
      <c r="L46" s="90">
        <v>1.1590000000000001E-3</v>
      </c>
      <c r="M46" s="90">
        <v>9.9452999999999998E-4</v>
      </c>
      <c r="N46" s="90">
        <v>5.44E-4</v>
      </c>
      <c r="O46" s="91">
        <v>5.1190000000000003E-4</v>
      </c>
      <c r="P46" s="46"/>
      <c r="Q46" s="109"/>
      <c r="R46" s="109"/>
      <c r="S46" s="109"/>
      <c r="T46" s="109"/>
      <c r="U46" s="4"/>
      <c r="V46"/>
      <c r="W46"/>
      <c r="X46"/>
      <c r="Y46"/>
      <c r="Z46"/>
    </row>
    <row r="47" spans="1:29" s="4" customFormat="1" x14ac:dyDescent="0.2">
      <c r="A47" s="67" t="s">
        <v>36</v>
      </c>
      <c r="B47" s="68" t="s">
        <v>178</v>
      </c>
      <c r="C47" s="61">
        <v>1.4999999999999999E-2</v>
      </c>
      <c r="D47" s="24"/>
      <c r="E47" s="24"/>
      <c r="F47" s="24"/>
      <c r="G47" s="24"/>
      <c r="H47" s="24"/>
      <c r="I47" s="75">
        <v>1.7279999999999999E-3</v>
      </c>
      <c r="J47" s="75">
        <v>1.0147000000000001E-3</v>
      </c>
      <c r="K47" s="75">
        <v>1.0549999999999999E-3</v>
      </c>
      <c r="L47" s="90">
        <v>5.9100000000000005E-4</v>
      </c>
      <c r="M47" s="90">
        <v>4.6749999999999998E-4</v>
      </c>
      <c r="N47" s="90">
        <v>3.59E-4</v>
      </c>
      <c r="O47" s="91">
        <v>2.9462999999999999E-4</v>
      </c>
      <c r="P47" s="46" t="s">
        <v>36</v>
      </c>
      <c r="Q47" s="109"/>
      <c r="R47" s="109"/>
      <c r="S47" s="109"/>
      <c r="T47" s="109"/>
      <c r="V47"/>
      <c r="W47"/>
      <c r="X47"/>
      <c r="Y47"/>
      <c r="Z47"/>
    </row>
    <row r="48" spans="1:29" s="4" customFormat="1" x14ac:dyDescent="0.2">
      <c r="A48" s="46" t="s">
        <v>105</v>
      </c>
      <c r="B48" s="16" t="s">
        <v>109</v>
      </c>
      <c r="C48" s="63">
        <v>2</v>
      </c>
      <c r="D48" s="50">
        <v>1</v>
      </c>
      <c r="E48" s="50">
        <v>1</v>
      </c>
      <c r="F48" s="50">
        <v>2</v>
      </c>
      <c r="G48" s="50">
        <v>1</v>
      </c>
      <c r="H48" s="50">
        <v>4</v>
      </c>
      <c r="I48" s="80">
        <v>3</v>
      </c>
      <c r="J48" s="80">
        <v>2</v>
      </c>
      <c r="K48" s="80">
        <v>5</v>
      </c>
      <c r="L48" s="96">
        <v>10</v>
      </c>
      <c r="M48" s="96">
        <v>5</v>
      </c>
      <c r="N48" s="96">
        <v>3</v>
      </c>
      <c r="O48" s="97">
        <v>5</v>
      </c>
      <c r="P48" s="46" t="s">
        <v>170</v>
      </c>
      <c r="Q48" s="113">
        <v>1</v>
      </c>
      <c r="R48" s="113">
        <v>1</v>
      </c>
      <c r="S48" s="113">
        <v>1</v>
      </c>
      <c r="T48" s="113">
        <v>1</v>
      </c>
      <c r="U48" t="s">
        <v>175</v>
      </c>
      <c r="V48" s="3">
        <f>SUM(C48:T48)</f>
        <v>48</v>
      </c>
      <c r="W48"/>
      <c r="X48"/>
      <c r="Y48"/>
      <c r="Z48"/>
    </row>
    <row r="49" spans="1:26" s="4" customFormat="1" x14ac:dyDescent="0.2">
      <c r="A49" s="46" t="s">
        <v>106</v>
      </c>
      <c r="B49" s="16" t="s">
        <v>110</v>
      </c>
      <c r="C49" s="63">
        <v>2</v>
      </c>
      <c r="D49" s="50">
        <v>1</v>
      </c>
      <c r="E49" s="50">
        <v>1</v>
      </c>
      <c r="F49" s="50">
        <v>2</v>
      </c>
      <c r="G49" s="50">
        <v>1</v>
      </c>
      <c r="H49" s="50">
        <v>4</v>
      </c>
      <c r="I49" s="80">
        <v>3</v>
      </c>
      <c r="J49" s="80">
        <v>2</v>
      </c>
      <c r="K49" s="80">
        <v>5</v>
      </c>
      <c r="L49" s="96">
        <v>10</v>
      </c>
      <c r="M49" s="96">
        <v>5</v>
      </c>
      <c r="N49" s="96">
        <v>3</v>
      </c>
      <c r="O49" s="97">
        <v>5</v>
      </c>
      <c r="P49" s="46" t="s">
        <v>171</v>
      </c>
      <c r="Q49" s="113">
        <v>0</v>
      </c>
      <c r="R49" s="114">
        <v>0</v>
      </c>
      <c r="S49" s="114">
        <v>0</v>
      </c>
      <c r="T49" s="114">
        <v>0</v>
      </c>
      <c r="U49" t="s">
        <v>176</v>
      </c>
      <c r="V49" s="3">
        <f>SUM(C49:T49)</f>
        <v>44</v>
      </c>
      <c r="W49"/>
      <c r="X49"/>
      <c r="Y49"/>
      <c r="Z49"/>
    </row>
    <row r="50" spans="1:26" s="1" customFormat="1" x14ac:dyDescent="0.2">
      <c r="A50" s="21" t="s">
        <v>78</v>
      </c>
      <c r="B50" s="6" t="s">
        <v>79</v>
      </c>
      <c r="C50" s="64">
        <f>C44*C48*24*3600*0.000001</f>
        <v>5.1240767688970656</v>
      </c>
      <c r="D50" s="45">
        <f>D44*D48*24*3600*0.000001</f>
        <v>2.5620383844485328</v>
      </c>
      <c r="E50" s="45">
        <f>E44*E48*24*3600*0.000001</f>
        <v>2.5620383844485328</v>
      </c>
      <c r="F50" s="45">
        <f t="shared" ref="F50:H50" si="111">F44*F48*24*3600*0.000001</f>
        <v>5.18658338870432</v>
      </c>
      <c r="G50" s="45">
        <f t="shared" si="111"/>
        <v>2.5620383844485328</v>
      </c>
      <c r="H50" s="45">
        <f t="shared" si="111"/>
        <v>7.9051694173790601</v>
      </c>
      <c r="I50" s="81">
        <f t="shared" ref="I50:O50" si="112">I44*I48*24*3600*0.000001</f>
        <v>5.1240767688970648</v>
      </c>
      <c r="J50" s="81">
        <f t="shared" si="112"/>
        <v>3.4160511792647097</v>
      </c>
      <c r="K50" s="81">
        <f t="shared" si="112"/>
        <v>8.5401279481617749</v>
      </c>
      <c r="L50" s="98">
        <f t="shared" si="112"/>
        <v>17.08025589632355</v>
      </c>
      <c r="M50" s="98">
        <f t="shared" si="112"/>
        <v>8.5401279481617749</v>
      </c>
      <c r="N50" s="98">
        <f t="shared" si="112"/>
        <v>5.1240767688970648</v>
      </c>
      <c r="O50" s="99">
        <f t="shared" si="112"/>
        <v>8.5401279481617749</v>
      </c>
      <c r="P50" s="46" t="s">
        <v>79</v>
      </c>
      <c r="Q50" s="139"/>
      <c r="R50" s="116">
        <f t="shared" ref="R50:T50" si="113">R44*R48*24*3600*0.000001</f>
        <v>2.59329169435216</v>
      </c>
      <c r="S50" s="116">
        <f t="shared" si="113"/>
        <v>2.59329169435216</v>
      </c>
      <c r="T50" s="116">
        <f t="shared" si="113"/>
        <v>2.59329169435216</v>
      </c>
      <c r="U50"/>
      <c r="V50"/>
      <c r="W50"/>
      <c r="X50"/>
      <c r="Y50"/>
      <c r="Z50"/>
    </row>
    <row r="51" spans="1:26" s="1" customFormat="1" x14ac:dyDescent="0.2">
      <c r="A51" s="21"/>
      <c r="B51" s="6"/>
      <c r="C51" s="64"/>
      <c r="D51" s="45"/>
      <c r="E51" s="45"/>
      <c r="F51" s="45"/>
      <c r="G51" s="45"/>
      <c r="H51" s="45"/>
      <c r="I51" s="81"/>
      <c r="J51" s="81"/>
      <c r="K51" s="81"/>
      <c r="L51" s="98"/>
      <c r="M51" s="98"/>
      <c r="N51" s="98"/>
      <c r="O51" s="99"/>
      <c r="P51" s="46"/>
      <c r="Q51" s="139"/>
      <c r="R51" s="116"/>
      <c r="S51" s="116"/>
      <c r="T51" s="116"/>
      <c r="U51"/>
      <c r="V51"/>
      <c r="W51"/>
      <c r="X51"/>
      <c r="Y51"/>
      <c r="Z51"/>
    </row>
    <row r="52" spans="1:26" x14ac:dyDescent="0.2">
      <c r="A52" s="15" t="s">
        <v>37</v>
      </c>
      <c r="B52" s="6" t="s">
        <v>53</v>
      </c>
      <c r="C52" s="65">
        <f>2*C19*C17*C21/C20</f>
        <v>2.0290766428857294</v>
      </c>
      <c r="D52" s="25">
        <f>2*D19*D17*D21/D20</f>
        <v>5.559725627879688</v>
      </c>
      <c r="E52" s="25">
        <f>2*E19*E17*E21/E20</f>
        <v>10.470706606170424</v>
      </c>
      <c r="F52" s="25"/>
      <c r="G52" s="25"/>
      <c r="H52" s="25"/>
      <c r="I52" s="82">
        <f t="shared" ref="I52:O52" si="114">2*I19*I17*I21/I20</f>
        <v>11.375852737463626</v>
      </c>
      <c r="J52" s="82">
        <f t="shared" si="114"/>
        <v>20.2024893471106</v>
      </c>
      <c r="K52" s="82">
        <f t="shared" si="114"/>
        <v>11.230820646726759</v>
      </c>
      <c r="L52" s="100">
        <f t="shared" si="114"/>
        <v>3.1649677761372406</v>
      </c>
      <c r="M52" s="100">
        <f t="shared" si="114"/>
        <v>8.8849212141336693</v>
      </c>
      <c r="N52" s="100">
        <f t="shared" si="114"/>
        <v>16.860585543074016</v>
      </c>
      <c r="O52" s="101">
        <f t="shared" si="114"/>
        <v>12.431144538998797</v>
      </c>
      <c r="P52" s="33" t="s">
        <v>37</v>
      </c>
      <c r="Q52" s="139"/>
      <c r="R52" s="117">
        <f>2*R19*R17*R21/R20</f>
        <v>2.4101039886560236</v>
      </c>
      <c r="S52" s="117">
        <f>2*S19*S17*S21/S20</f>
        <v>4.9724578155995172</v>
      </c>
      <c r="T52" s="117">
        <f>2*T19*T17*T21/T20</f>
        <v>3.4365764961273051</v>
      </c>
    </row>
    <row r="53" spans="1:26" x14ac:dyDescent="0.2">
      <c r="A53" s="15" t="s">
        <v>51</v>
      </c>
      <c r="B53" s="6"/>
      <c r="C53" s="66">
        <f>(C43*nbarn)*C48*24*3600*C52*HRS_Acc*HRS_ddelta*C21*(C46+C47)*DeltaT/2</f>
        <v>122447.31689683425</v>
      </c>
      <c r="D53" s="26">
        <f>(D43*nbarn)*D48*24*3600*D52*HRS_Acc*HRS_ddelta*D21*(D46+D47)*DeltaT/2</f>
        <v>0</v>
      </c>
      <c r="E53" s="26">
        <f>(E43*nbarn)*E48*24*3600*E52*HRS_Acc*HRS_ddelta*E21*(E46+E47)*DeltaT/2</f>
        <v>0</v>
      </c>
      <c r="F53" s="26"/>
      <c r="G53" s="26"/>
      <c r="H53" s="26"/>
      <c r="I53" s="83">
        <f t="shared" ref="I53:O53" si="115">(I43*nbarn)*I48*24*3600*I52*HRS_Acc*HRS_ddelta*I21*(I46+I47)*DeltaT/2</f>
        <v>158429.13593254381</v>
      </c>
      <c r="J53" s="83">
        <f t="shared" si="115"/>
        <v>144442.39430875503</v>
      </c>
      <c r="K53" s="83">
        <f t="shared" si="115"/>
        <v>161661.62392272818</v>
      </c>
      <c r="L53" s="102">
        <f t="shared" si="115"/>
        <v>15953.296260715266</v>
      </c>
      <c r="M53" s="102">
        <f t="shared" si="115"/>
        <v>39603.803109251545</v>
      </c>
      <c r="N53" s="102">
        <f t="shared" si="115"/>
        <v>42465.924841782027</v>
      </c>
      <c r="O53" s="103">
        <f t="shared" si="115"/>
        <v>40427.800403331341</v>
      </c>
      <c r="P53" s="34" t="s">
        <v>51</v>
      </c>
      <c r="Q53" s="115"/>
      <c r="R53" s="115"/>
      <c r="S53" s="115"/>
      <c r="T53" s="115"/>
    </row>
    <row r="54" spans="1:26" s="145" customFormat="1" ht="17" thickBot="1" x14ac:dyDescent="0.25">
      <c r="A54" s="140" t="s">
        <v>174</v>
      </c>
      <c r="B54" s="141" t="s">
        <v>173</v>
      </c>
      <c r="C54" s="142">
        <f>C48+C49</f>
        <v>4</v>
      </c>
      <c r="D54" s="142">
        <f t="shared" ref="D54:H54" si="116">D48+D49</f>
        <v>2</v>
      </c>
      <c r="E54" s="142">
        <f t="shared" si="116"/>
        <v>2</v>
      </c>
      <c r="F54" s="142">
        <f t="shared" si="116"/>
        <v>4</v>
      </c>
      <c r="G54" s="142">
        <f t="shared" si="116"/>
        <v>2</v>
      </c>
      <c r="H54" s="142">
        <f t="shared" si="116"/>
        <v>8</v>
      </c>
      <c r="I54" s="143">
        <f>I48+I49</f>
        <v>6</v>
      </c>
      <c r="J54" s="143">
        <f t="shared" ref="J54:T54" si="117">J48+J49</f>
        <v>4</v>
      </c>
      <c r="K54" s="143">
        <f t="shared" si="117"/>
        <v>10</v>
      </c>
      <c r="L54" s="144">
        <f t="shared" si="117"/>
        <v>20</v>
      </c>
      <c r="M54" s="144">
        <f t="shared" si="117"/>
        <v>10</v>
      </c>
      <c r="N54" s="144">
        <f t="shared" si="117"/>
        <v>6</v>
      </c>
      <c r="O54" s="144">
        <f t="shared" si="117"/>
        <v>10</v>
      </c>
      <c r="P54" s="145" t="str">
        <f>A54</f>
        <v>LH2+LD2</v>
      </c>
      <c r="Q54" s="146">
        <f t="shared" si="117"/>
        <v>1</v>
      </c>
      <c r="R54" s="146">
        <f t="shared" si="117"/>
        <v>1</v>
      </c>
      <c r="S54" s="146">
        <f t="shared" si="117"/>
        <v>1</v>
      </c>
      <c r="T54" s="146">
        <f t="shared" si="117"/>
        <v>1</v>
      </c>
      <c r="U54" s="145" t="s">
        <v>179</v>
      </c>
      <c r="V54" s="145">
        <f>SUM(C54:T54)</f>
        <v>92</v>
      </c>
    </row>
    <row r="55" spans="1:26" ht="17" thickBot="1" x14ac:dyDescent="0.25">
      <c r="A55" s="29" t="s">
        <v>52</v>
      </c>
      <c r="B55" s="30"/>
      <c r="C55" s="153" t="str">
        <f>CONCATENATE("(x=0.36) Total=  ",SUM(C48:H49),"  PAC Days")</f>
        <v>(x=0.36) Total=  22  PAC Days</v>
      </c>
      <c r="D55" s="154"/>
      <c r="E55" s="154"/>
      <c r="F55" s="154"/>
      <c r="G55" s="154"/>
      <c r="H55" s="154"/>
      <c r="I55" s="155" t="str">
        <f>CONCATENATE("(x=0.50) Total=  ",SUM(I48:K49),"  PAC Days")</f>
        <v>(x=0.50) Total=  20  PAC Days</v>
      </c>
      <c r="J55" s="155"/>
      <c r="K55" s="156"/>
      <c r="L55" s="157" t="str">
        <f>CONCATENATE("(x=0.60) Total=  ",SUM(L48:O49),"  PAC Days")</f>
        <v>(x=0.60) Total=  46  PAC Days</v>
      </c>
      <c r="M55" s="158"/>
      <c r="N55" s="158"/>
      <c r="O55" s="159"/>
      <c r="P55" s="32" t="s">
        <v>52</v>
      </c>
      <c r="Q55" s="160" t="str">
        <f>CONCATENATE("(x=0.25) Total=  ",SUM(Q48:T49),"  PAC Days")</f>
        <v>(x=0.25) Total=  4  PAC Days</v>
      </c>
      <c r="R55" s="161"/>
      <c r="S55" s="161"/>
      <c r="T55" s="162"/>
    </row>
    <row r="56" spans="1:26" s="31" customFormat="1" x14ac:dyDescent="0.2">
      <c r="A56"/>
      <c r="B56"/>
      <c r="C56" s="3"/>
      <c r="D56"/>
      <c r="E56"/>
      <c r="F56"/>
      <c r="G56"/>
      <c r="H56"/>
      <c r="I56"/>
      <c r="J56"/>
      <c r="K56"/>
      <c r="L56">
        <v>0.72499999999999998</v>
      </c>
      <c r="M56"/>
      <c r="N56" s="1"/>
      <c r="O56"/>
      <c r="P56"/>
      <c r="Q56"/>
      <c r="R56"/>
      <c r="S56"/>
    </row>
    <row r="58" spans="1:26" x14ac:dyDescent="0.2">
      <c r="A58" t="s">
        <v>83</v>
      </c>
      <c r="B58" t="s">
        <v>53</v>
      </c>
      <c r="D58">
        <f>D17/(1+D17/MProton*(1-COS(ASIN(D25))))</f>
        <v>6.6136983035439654</v>
      </c>
      <c r="E58">
        <f>E17/(1+E17/MProton*(1-COS(ASIN(E25))))</f>
        <v>7.3634597651119744</v>
      </c>
      <c r="J58">
        <f>J17/(1+J17/MProton*(1-COS(ASIN(J25))))</f>
        <v>5.9376414776894597</v>
      </c>
      <c r="K58">
        <f>K17/(1+K17/MProton*(1-COS(ASIN(K25))))</f>
        <v>7.2859604669797822</v>
      </c>
      <c r="L58">
        <f>L17/(1+L17/MProton*(1-COS(ASIN(L25))))</f>
        <v>5.424187466769518</v>
      </c>
      <c r="M58">
        <f>M17/(1+M17/MProton*(1-COS(ASIN(M25))))</f>
        <v>6.0038347408190553</v>
      </c>
    </row>
    <row r="59" spans="1:26" x14ac:dyDescent="0.2">
      <c r="A59" t="s">
        <v>84</v>
      </c>
      <c r="B59" t="s">
        <v>48</v>
      </c>
      <c r="D59">
        <f>2*D58*D17*(1-COS(D26*PI()/180))</f>
        <v>3.5077608532385409</v>
      </c>
      <c r="E59">
        <f>2*E58*E17*(1-COS(E26*PI()/180))</f>
        <v>5.9939790412784548</v>
      </c>
      <c r="J59">
        <f>2*J58*L17*(1-COS(L26*PI()/180))</f>
        <v>1.998330693223197</v>
      </c>
      <c r="K59">
        <f t="shared" ref="K59:M59" si="118">2*K58*M17*(1-COS(M26*PI()/180))</f>
        <v>5.6457222988319788</v>
      </c>
      <c r="L59">
        <f t="shared" si="118"/>
        <v>6.5677210448094705</v>
      </c>
      <c r="M59">
        <f t="shared" si="118"/>
        <v>5.4441774149119739</v>
      </c>
    </row>
    <row r="60" spans="1:26" x14ac:dyDescent="0.2">
      <c r="A60" t="s">
        <v>85</v>
      </c>
      <c r="B60" t="s">
        <v>53</v>
      </c>
      <c r="D60" s="38">
        <f>(D17-D58)+MProton</f>
        <v>2.8075075874202513</v>
      </c>
      <c r="E60" s="38">
        <f>(E17-E58)+MProton</f>
        <v>4.1323578605220188</v>
      </c>
      <c r="J60" s="38">
        <f>(J17-J58)+MProton</f>
        <v>5.5581761479445335</v>
      </c>
      <c r="K60" s="38">
        <f>(K17-K58)+MProton</f>
        <v>4.2098571586542111</v>
      </c>
      <c r="L60" s="38">
        <f>(L17-L58)+MProton</f>
        <v>1.9110822477957319</v>
      </c>
      <c r="M60" s="38">
        <f>(M17-M58)+MProton</f>
        <v>3.4173711501451614</v>
      </c>
    </row>
    <row r="61" spans="1:26" x14ac:dyDescent="0.2">
      <c r="A61" t="s">
        <v>86</v>
      </c>
      <c r="B61" t="s">
        <v>81</v>
      </c>
      <c r="D61">
        <f>SQRT(D60^2-MProton^2)</f>
        <v>2.6460710427768714</v>
      </c>
      <c r="E61">
        <f>SQRT(E60^2-MProton^2)</f>
        <v>4.0244222687757452</v>
      </c>
      <c r="J61">
        <f>SQRT(J60^2-MProton^2)</f>
        <v>5.4784044393946978</v>
      </c>
      <c r="K61">
        <f>SQRT(K60^2-MProton^2)</f>
        <v>4.1039603319564515</v>
      </c>
      <c r="L61">
        <f>SQRT(L60^2-MProton^2)</f>
        <v>1.6648809170147836</v>
      </c>
      <c r="M61">
        <f>SQRT(M60^2-MProton^2)</f>
        <v>3.2860338841595143</v>
      </c>
    </row>
    <row r="62" spans="1:26" x14ac:dyDescent="0.2">
      <c r="A62" t="s">
        <v>87</v>
      </c>
      <c r="B62" t="s">
        <v>39</v>
      </c>
      <c r="D62">
        <f>ASIN(D58*D25/D61)*180/PI()</f>
        <v>38.32138041306235</v>
      </c>
      <c r="E62">
        <f>ASIN(E58*E25/E61)*180/PI()</f>
        <v>30.207833901151226</v>
      </c>
      <c r="J62">
        <f>ASIN(J58*L25/J61)*180/PI()</f>
        <v>14.2976058855622</v>
      </c>
      <c r="K62">
        <f t="shared" ref="K62:M62" si="119">ASIN(K58*M25/K61)*180/PI()</f>
        <v>32.033099913106085</v>
      </c>
      <c r="L62" t="e">
        <f t="shared" si="119"/>
        <v>#NUM!</v>
      </c>
      <c r="M62">
        <f t="shared" si="119"/>
        <v>31.983848692758521</v>
      </c>
    </row>
  </sheetData>
  <mergeCells count="10">
    <mergeCell ref="R14:T14"/>
    <mergeCell ref="C13:M13"/>
    <mergeCell ref="J2:L6"/>
    <mergeCell ref="D14:E14"/>
    <mergeCell ref="C55:H55"/>
    <mergeCell ref="I14:K14"/>
    <mergeCell ref="L14:O14"/>
    <mergeCell ref="I55:K55"/>
    <mergeCell ref="L55:O55"/>
    <mergeCell ref="Q55:T55"/>
  </mergeCells>
  <phoneticPr fontId="4" type="noConversion"/>
  <printOptions gridLines="1"/>
  <pageMargins left="0.75" right="0.75" top="1" bottom="1" header="0.5" footer="0.5"/>
  <pageSetup scale="61" orientation="landscape" horizontalDpi="4294967292" verticalDpi="4294967292"/>
  <headerFooter>
    <oddHeader>&amp;L&amp;"Calibri,Regular"&amp;K000000&amp;D  &amp;T&amp;C&amp;"Calibri,Regular"&amp;K000000&amp;F&amp;R&amp;"Calibri,Regular"&amp;K000000Page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3" sqref="A3:D14"/>
    </sheetView>
  </sheetViews>
  <sheetFormatPr baseColWidth="10" defaultRowHeight="16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G16"/>
  <sheetViews>
    <sheetView workbookViewId="0">
      <selection sqref="A1:O33"/>
    </sheetView>
  </sheetViews>
  <sheetFormatPr baseColWidth="10" defaultRowHeight="16" x14ac:dyDescent="0.2"/>
  <sheetData>
    <row r="16" spans="7:7" s="1" customFormat="1" x14ac:dyDescent="0.2">
      <c r="G16"/>
    </row>
  </sheetData>
  <pageMargins left="0.75" right="0.75" top="1" bottom="1" header="0.5" footer="0.5"/>
  <pageSetup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6"/>
  <sheetViews>
    <sheetView workbookViewId="0">
      <selection activeCell="E42" sqref="E42:E46"/>
    </sheetView>
  </sheetViews>
  <sheetFormatPr baseColWidth="10" defaultRowHeight="16" x14ac:dyDescent="0.2"/>
  <cols>
    <col min="1" max="1" width="10.83203125" style="145"/>
    <col min="3" max="5" width="18.5" customWidth="1"/>
  </cols>
  <sheetData>
    <row r="1" spans="1:5" x14ac:dyDescent="0.2">
      <c r="A1" s="145" t="s">
        <v>190</v>
      </c>
    </row>
    <row r="2" spans="1:5" x14ac:dyDescent="0.2">
      <c r="A2" s="145" t="s">
        <v>193</v>
      </c>
      <c r="B2">
        <v>0.5</v>
      </c>
      <c r="C2" t="s">
        <v>39</v>
      </c>
    </row>
    <row r="3" spans="1:5" x14ac:dyDescent="0.2">
      <c r="A3" s="140" t="s">
        <v>66</v>
      </c>
      <c r="B3" s="6"/>
      <c r="C3" s="35">
        <v>3</v>
      </c>
      <c r="D3" s="36">
        <v>4</v>
      </c>
      <c r="E3">
        <v>5</v>
      </c>
    </row>
    <row r="4" spans="1:5" x14ac:dyDescent="0.2">
      <c r="A4" s="140" t="s">
        <v>6</v>
      </c>
      <c r="B4" s="6" t="s">
        <v>23</v>
      </c>
      <c r="C4" s="51">
        <f>CHOOSE(C3,Accel2023!$C10,Accel2023!$C11,Accel2023!$C12,Accel2023!$C13,Accel2023!$C14)/1000</f>
        <v>6.39696971456525</v>
      </c>
      <c r="D4" s="51">
        <f>CHOOSE(D3,Accel2023!$C10,Accel2023!$C11,Accel2023!$C12,Accel2023!$C13,Accel2023!$C14)/1000</f>
        <v>8.4829058909642168</v>
      </c>
      <c r="E4" s="51">
        <f>CHOOSE(E3,Accel2023!$C10,Accel2023!$C11,Accel2023!$C12,Accel2023!$C13,Accel2023!$C14)/1000</f>
        <v>10.557517625633993</v>
      </c>
    </row>
    <row r="5" spans="1:5" x14ac:dyDescent="0.2">
      <c r="A5" s="140" t="s">
        <v>191</v>
      </c>
      <c r="B5" s="6" t="s">
        <v>192</v>
      </c>
      <c r="C5" s="52" t="str">
        <f>_xlfn.CONCAT("k'(GeV)@",FIXED(C4,1))</f>
        <v>k'(GeV)@6.4</v>
      </c>
      <c r="D5" s="52" t="str">
        <f t="shared" ref="D5:E5" si="0">_xlfn.CONCAT("k'(GeV)@",FIXED(D4,1))</f>
        <v>k'(GeV)@8.5</v>
      </c>
      <c r="E5" s="52" t="str">
        <f t="shared" si="0"/>
        <v>k'(GeV)@10.6</v>
      </c>
    </row>
    <row r="6" spans="1:5" x14ac:dyDescent="0.2">
      <c r="A6" s="140">
        <v>12</v>
      </c>
      <c r="B6" s="6">
        <f>A6/180*3.14159265</f>
        <v>0.20943951000000002</v>
      </c>
      <c r="C6">
        <f>C$4/(1+C$4/'DVCS-Kin'!MProton*(1-COS($B6)))</f>
        <v>5.5675143018028681</v>
      </c>
      <c r="D6">
        <f>D$4/(1+D$4/'DVCS-Kin'!MProton*(1-COS($B6)))</f>
        <v>7.0834831588138556</v>
      </c>
      <c r="E6">
        <f>E$4/(1+E$4/'DVCS-Kin'!MProton*(1-COS($B6)))</f>
        <v>8.4739595455021188</v>
      </c>
    </row>
    <row r="7" spans="1:5" x14ac:dyDescent="0.2">
      <c r="A7" s="140">
        <f t="shared" ref="A7:A36" si="1">A6+dth</f>
        <v>12.5</v>
      </c>
      <c r="B7" s="6">
        <f t="shared" ref="B7:B36" si="2">A7/180*3.14159265</f>
        <v>0.21816615625000002</v>
      </c>
      <c r="C7">
        <f>C$4/(1+C$4/'DVCS-Kin'!MProton*(1-COS($B7)))</f>
        <v>5.5070107014590084</v>
      </c>
      <c r="D7">
        <f>D$4/(1+D$4/'DVCS-Kin'!MProton*(1-COS($B7)))</f>
        <v>6.9858338718952071</v>
      </c>
      <c r="E7">
        <f>E$4/(1+E$4/'DVCS-Kin'!MProton*(1-COS($B7)))</f>
        <v>8.3345878852040283</v>
      </c>
    </row>
    <row r="8" spans="1:5" x14ac:dyDescent="0.2">
      <c r="A8" s="140">
        <f t="shared" si="1"/>
        <v>13</v>
      </c>
      <c r="B8" s="6">
        <f t="shared" si="2"/>
        <v>0.22689280249999999</v>
      </c>
      <c r="C8">
        <f>C$4/(1+C$4/'DVCS-Kin'!MProton*(1-COS($B8)))</f>
        <v>5.4454573304850094</v>
      </c>
      <c r="D8">
        <f>D$4/(1+D$4/'DVCS-Kin'!MProton*(1-COS($B8)))</f>
        <v>6.8870798181002542</v>
      </c>
      <c r="E8">
        <f>E$4/(1+E$4/'DVCS-Kin'!MProton*(1-COS($B8)))</f>
        <v>8.1944024220536686</v>
      </c>
    </row>
    <row r="9" spans="1:5" x14ac:dyDescent="0.2">
      <c r="A9" s="140">
        <f t="shared" si="1"/>
        <v>13.5</v>
      </c>
      <c r="B9" s="6">
        <f t="shared" si="2"/>
        <v>0.23561944875000002</v>
      </c>
      <c r="C9">
        <f>C$4/(1+C$4/'DVCS-Kin'!MProton*(1-COS($B9)))</f>
        <v>5.382972278823436</v>
      </c>
      <c r="D9">
        <f>D$4/(1+D$4/'DVCS-Kin'!MProton*(1-COS($B9)))</f>
        <v>6.7874337084432224</v>
      </c>
      <c r="E9">
        <f>E$4/(1+E$4/'DVCS-Kin'!MProton*(1-COS($B9)))</f>
        <v>8.0537220348436698</v>
      </c>
    </row>
    <row r="10" spans="1:5" x14ac:dyDescent="0.2">
      <c r="A10" s="140">
        <f t="shared" si="1"/>
        <v>14</v>
      </c>
      <c r="B10" s="6">
        <f t="shared" si="2"/>
        <v>0.24434609500000001</v>
      </c>
      <c r="C10">
        <f>C$4/(1+C$4/'DVCS-Kin'!MProton*(1-COS($B10)))</f>
        <v>5.3196706953357005</v>
      </c>
      <c r="D10">
        <f>D$4/(1+D$4/'DVCS-Kin'!MProton*(1-COS($B10)))</f>
        <v>6.6870990358355087</v>
      </c>
      <c r="E10">
        <f>E$4/(1+E$4/'DVCS-Kin'!MProton*(1-COS($B10)))</f>
        <v>7.912846027910124</v>
      </c>
    </row>
    <row r="11" spans="1:5" x14ac:dyDescent="0.2">
      <c r="A11" s="140">
        <f t="shared" si="1"/>
        <v>14.5</v>
      </c>
      <c r="B11" s="6">
        <f t="shared" si="2"/>
        <v>0.25307274125000001</v>
      </c>
      <c r="C11">
        <f>C$4/(1+C$4/'DVCS-Kin'!MProton*(1-COS($B11)))</f>
        <v>5.2556644567730029</v>
      </c>
      <c r="D11">
        <f>D$4/(1+D$4/'DVCS-Kin'!MProton*(1-COS($B11)))</f>
        <v>6.5862696346198542</v>
      </c>
      <c r="E11">
        <f>E$4/(1+E$4/'DVCS-Kin'!MProton*(1-COS($B11)))</f>
        <v>7.7720538768357672</v>
      </c>
    </row>
    <row r="12" spans="1:5" x14ac:dyDescent="0.2">
      <c r="A12" s="140">
        <f t="shared" si="1"/>
        <v>15</v>
      </c>
      <c r="B12" s="6">
        <f t="shared" si="2"/>
        <v>0.26179938749999998</v>
      </c>
      <c r="C12">
        <f>C$4/(1+C$4/'DVCS-Kin'!MProton*(1-COS($B12)))</f>
        <v>5.1910618808142646</v>
      </c>
      <c r="D12">
        <f>D$4/(1+D$4/'DVCS-Kin'!MProton*(1-COS($B12)))</f>
        <v>6.4851293553411038</v>
      </c>
      <c r="E12">
        <f>E$4/(1+E$4/'DVCS-Kin'!MProton*(1-COS($B12)))</f>
        <v>7.6316051857757996</v>
      </c>
    </row>
    <row r="13" spans="1:5" x14ac:dyDescent="0.2">
      <c r="A13" s="140">
        <f t="shared" si="1"/>
        <v>15.5</v>
      </c>
      <c r="B13" s="6">
        <f t="shared" si="2"/>
        <v>0.27052603375000001</v>
      </c>
      <c r="C13">
        <f>C$4/(1+C$4/'DVCS-Kin'!MProton*(1-COS($B13)))</f>
        <v>5.125967482130652</v>
      </c>
      <c r="D13">
        <f>D$4/(1+D$4/'DVCS-Kin'!MProton*(1-COS($B13)))</f>
        <v>6.3838518467023775</v>
      </c>
      <c r="E13">
        <f>E$4/(1+E$4/'DVCS-Kin'!MProton*(1-COS($B13)))</f>
        <v>7.4917398319737467</v>
      </c>
    </row>
    <row r="14" spans="1:5" x14ac:dyDescent="0.2">
      <c r="A14" s="140">
        <f t="shared" si="1"/>
        <v>16</v>
      </c>
      <c r="B14" s="6">
        <f t="shared" si="2"/>
        <v>0.27925268000000003</v>
      </c>
      <c r="C14">
        <f>C$4/(1+C$4/'DVCS-Kin'!MProton*(1-COS($B14)))</f>
        <v>5.0604817700301323</v>
      </c>
      <c r="D14">
        <f>D$4/(1+D$4/'DVCS-Kin'!MProton*(1-COS($B14)))</f>
        <v>6.2826004360374563</v>
      </c>
      <c r="E14">
        <f>E$4/(1+E$4/'DVCS-Kin'!MProton*(1-COS($B14)))</f>
        <v>7.3526782731738258</v>
      </c>
    </row>
    <row r="15" spans="1:5" x14ac:dyDescent="0.2">
      <c r="A15" s="140">
        <f t="shared" si="1"/>
        <v>16.5</v>
      </c>
      <c r="B15" s="6">
        <f t="shared" si="2"/>
        <v>0.28797932625</v>
      </c>
      <c r="C15">
        <f>C$4/(1+C$4/'DVCS-Kin'!MProton*(1-COS($B15)))</f>
        <v>4.9947010858939098</v>
      </c>
      <c r="D15">
        <f>D$4/(1+D$4/'DVCS-Kin'!MProton*(1-COS($B15)))</f>
        <v>6.1815280992512252</v>
      </c>
      <c r="E15">
        <f>E$4/(1+E$4/'DVCS-Kin'!MProton*(1-COS($B15)))</f>
        <v>7.2146219942709129</v>
      </c>
    </row>
    <row r="16" spans="1:5" x14ac:dyDescent="0.2">
      <c r="A16" s="140">
        <f t="shared" si="1"/>
        <v>17</v>
      </c>
      <c r="B16" s="6">
        <f t="shared" si="2"/>
        <v>0.29670597250000003</v>
      </c>
      <c r="C16">
        <f>C$4/(1+C$4/'DVCS-Kin'!MProton*(1-COS($B16)))</f>
        <v>4.9287174783379157</v>
      </c>
      <c r="D16">
        <f>D$4/(1+D$4/'DVCS-Kin'!MProton*(1-COS($B16)))</f>
        <v>6.0807775110135207</v>
      </c>
      <c r="E16">
        <f>E$4/(1+E$4/'DVCS-Kin'!MProton*(1-COS($B16)))</f>
        <v>7.077754070568739</v>
      </c>
    </row>
    <row r="17" spans="1:5" x14ac:dyDescent="0.2">
      <c r="A17" s="140">
        <f t="shared" si="1"/>
        <v>17.5</v>
      </c>
      <c r="B17" s="6">
        <f t="shared" si="2"/>
        <v>0.30543261875000005</v>
      </c>
      <c r="C17">
        <f>C$4/(1+C$4/'DVCS-Kin'!MProton*(1-COS($B17)))</f>
        <v>4.8626186138144956</v>
      </c>
      <c r="D17">
        <f>D$4/(1+D$4/'DVCS-Kin'!MProton*(1-COS($B17)))</f>
        <v>5.9804811660104349</v>
      </c>
      <c r="E17">
        <f>E$4/(1+E$4/'DVCS-Kin'!MProton*(1-COS($B17)))</f>
        <v>6.942239826348497</v>
      </c>
    </row>
    <row r="18" spans="1:5" x14ac:dyDescent="0.2">
      <c r="A18" s="140">
        <f t="shared" si="1"/>
        <v>18</v>
      </c>
      <c r="B18" s="6">
        <f t="shared" si="2"/>
        <v>0.31415926500000002</v>
      </c>
      <c r="C18">
        <f>C$4/(1+C$4/'DVCS-Kin'!MProton*(1-COS($B18)))</f>
        <v>4.7964877202082796</v>
      </c>
      <c r="D18">
        <f>D$4/(1+D$4/'DVCS-Kin'!MProton*(1-COS($B18)))</f>
        <v>5.8807615622329159</v>
      </c>
      <c r="E18">
        <f>E$4/(1+E$4/'DVCS-Kin'!MProton*(1-COS($B18)))</f>
        <v>6.8082275689981477</v>
      </c>
    </row>
    <row r="19" spans="1:5" x14ac:dyDescent="0.2">
      <c r="A19" s="140">
        <f t="shared" si="1"/>
        <v>18.5</v>
      </c>
      <c r="B19" s="6">
        <f t="shared" si="2"/>
        <v>0.32288591124999999</v>
      </c>
      <c r="C19">
        <f>C$4/(1+C$4/'DVCS-Kin'!MProton*(1-COS($B19)))</f>
        <v>4.730403560871884</v>
      </c>
      <c r="D19">
        <f>D$4/(1+D$4/'DVCS-Kin'!MProton*(1-COS($B19)))</f>
        <v>5.781731437587684</v>
      </c>
      <c r="E19">
        <f>E$4/(1+E$4/'DVCS-Kin'!MProton*(1-COS($B19)))</f>
        <v>6.6758493806413339</v>
      </c>
    </row>
    <row r="20" spans="1:5" x14ac:dyDescent="0.2">
      <c r="A20" s="140">
        <f t="shared" si="1"/>
        <v>19</v>
      </c>
      <c r="B20" s="6">
        <f t="shared" si="2"/>
        <v>0.33161255750000002</v>
      </c>
      <c r="C20">
        <f>C$4/(1+C$4/'DVCS-Kin'!MProton*(1-COS($B20)))</f>
        <v>4.6644404364864718</v>
      </c>
      <c r="D20">
        <f>D$4/(1+D$4/'DVCS-Kin'!MProton*(1-COS($B20)))</f>
        <v>5.6834940515238506</v>
      </c>
      <c r="E20">
        <f>E$4/(1+E$4/'DVCS-Kin'!MProton*(1-COS($B20)))</f>
        <v>6.5452219509689415</v>
      </c>
    </row>
    <row r="21" spans="1:5" x14ac:dyDescent="0.2">
      <c r="A21" s="140">
        <f t="shared" si="1"/>
        <v>19.5</v>
      </c>
      <c r="B21" s="6">
        <f t="shared" si="2"/>
        <v>0.34033920375000004</v>
      </c>
      <c r="C21">
        <f>C$4/(1+C$4/'DVCS-Kin'!MProton*(1-COS($B21)))</f>
        <v>4.5986682121145677</v>
      </c>
      <c r="D21">
        <f>D$4/(1+D$4/'DVCS-Kin'!MProton*(1-COS($B21)))</f>
        <v>5.5861435038559346</v>
      </c>
      <c r="E21">
        <f>E$4/(1+E$4/'DVCS-Kin'!MProton*(1-COS($B21)))</f>
        <v>6.4164474367608655</v>
      </c>
    </row>
    <row r="22" spans="1:5" x14ac:dyDescent="0.2">
      <c r="A22" s="140">
        <f t="shared" si="1"/>
        <v>20</v>
      </c>
      <c r="B22" s="6">
        <f t="shared" si="2"/>
        <v>0.34906585000000001</v>
      </c>
      <c r="C22">
        <f>C$4/(1+C$4/'DVCS-Kin'!MProton*(1-COS($B22)))</f>
        <v>4.533152366832077</v>
      </c>
      <c r="D22">
        <f>D$4/(1+D$4/'DVCS-Kin'!MProton*(1-COS($B22)))</f>
        <v>5.4897650835074474</v>
      </c>
      <c r="E22">
        <f>E$4/(1+E$4/'DVCS-Kin'!MProton*(1-COS($B22)))</f>
        <v>6.2896143353453802</v>
      </c>
    </row>
    <row r="23" spans="1:5" x14ac:dyDescent="0.2">
      <c r="A23" s="140">
        <f t="shared" si="1"/>
        <v>20.5</v>
      </c>
      <c r="B23" s="6">
        <f t="shared" si="2"/>
        <v>0.35779249625000004</v>
      </c>
      <c r="C23">
        <f>C$4/(1+C$4/'DVCS-Kin'!MProton*(1-COS($B23)))</f>
        <v>4.4679540633784862</v>
      </c>
      <c r="D23">
        <f>D$4/(1+D$4/'DVCS-Kin'!MProton*(1-COS($B23)))</f>
        <v>5.3944356404798492</v>
      </c>
      <c r="E23">
        <f>E$4/(1+E$4/'DVCS-Kin'!MProton*(1-COS($B23)))</f>
        <v>6.1647983609438635</v>
      </c>
    </row>
    <row r="24" spans="1:5" x14ac:dyDescent="0.2">
      <c r="A24" s="140">
        <f t="shared" si="1"/>
        <v>21</v>
      </c>
      <c r="B24" s="6">
        <f t="shared" si="2"/>
        <v>0.36651914250000001</v>
      </c>
      <c r="C24">
        <f>C$4/(1+C$4/'DVCS-Kin'!MProton*(1-COS($B24)))</f>
        <v>4.4031302353430766</v>
      </c>
      <c r="D24">
        <f>D$4/(1+D$4/'DVCS-Kin'!MProton*(1-COS($B24)))</f>
        <v>5.3002239749516074</v>
      </c>
      <c r="E24">
        <f>E$4/(1+E$4/'DVCS-Kin'!MProton*(1-COS($B24)))</f>
        <v>6.0420633144622116</v>
      </c>
    </row>
    <row r="25" spans="1:5" x14ac:dyDescent="0.2">
      <c r="A25" s="140">
        <f t="shared" si="1"/>
        <v>21.5</v>
      </c>
      <c r="B25" s="6">
        <f t="shared" si="2"/>
        <v>0.37524578875000003</v>
      </c>
      <c r="C25">
        <f>C$4/(1+C$4/'DVCS-Kin'!MProton*(1-COS($B25)))</f>
        <v>4.3387336895060287</v>
      </c>
      <c r="D25">
        <f>D$4/(1+D$4/'DVCS-Kin'!MProton*(1-COS($B25)))</f>
        <v>5.2071912380169136</v>
      </c>
      <c r="E25">
        <f>E$4/(1+E$4/'DVCS-Kin'!MProton*(1-COS($B25)))</f>
        <v>5.9214619387980543</v>
      </c>
    </row>
    <row r="26" spans="1:5" x14ac:dyDescent="0.2">
      <c r="A26" s="140">
        <f t="shared" si="1"/>
        <v>22</v>
      </c>
      <c r="B26" s="6">
        <f t="shared" si="2"/>
        <v>0.383972435</v>
      </c>
      <c r="C26">
        <f>C$4/(1+C$4/'DVCS-Kin'!MProton*(1-COS($B26)))</f>
        <v>4.2748132210718506</v>
      </c>
      <c r="D26">
        <f>D$4/(1+D$4/'DVCS-Kin'!MProton*(1-COS($B26)))</f>
        <v>5.115391339171433</v>
      </c>
      <c r="E26">
        <f>E$4/(1+E$4/'DVCS-Kin'!MProton*(1-COS($B26)))</f>
        <v>5.8030367531227398</v>
      </c>
    </row>
    <row r="27" spans="1:5" x14ac:dyDescent="0.2">
      <c r="A27" s="140">
        <f t="shared" si="1"/>
        <v>22.5</v>
      </c>
      <c r="B27" s="6">
        <f t="shared" si="2"/>
        <v>0.39269908125000003</v>
      </c>
      <c r="C27">
        <f>C$4/(1+C$4/'DVCS-Kin'!MProton*(1-COS($B27)))</f>
        <v>4.2114137396642093</v>
      </c>
      <c r="D27">
        <f>D$4/(1+D$4/'DVCS-Kin'!MProton*(1-COS($B27)))</f>
        <v>5.0248713562327616</v>
      </c>
      <c r="E27">
        <f>E$4/(1+E$4/'DVCS-Kin'!MProton*(1-COS($B27)))</f>
        <v>5.6868208608610322</v>
      </c>
    </row>
    <row r="28" spans="1:5" x14ac:dyDescent="0.2">
      <c r="A28" s="140">
        <f t="shared" si="1"/>
        <v>23</v>
      </c>
      <c r="B28" s="6">
        <f t="shared" si="2"/>
        <v>0.4014257275</v>
      </c>
      <c r="C28">
        <f>C$4/(1+C$4/'DVCS-Kin'!MProton*(1-COS($B28)))</f>
        <v>4.1485764040924593</v>
      </c>
      <c r="D28">
        <f>D$4/(1+D$4/'DVCS-Kin'!MProton*(1-COS($B28)))</f>
        <v>4.9356719439392478</v>
      </c>
      <c r="E28">
        <f>E$4/(1+E$4/'DVCS-Kin'!MProton*(1-COS($B28)))</f>
        <v>5.5728387272282411</v>
      </c>
    </row>
    <row r="29" spans="1:5" x14ac:dyDescent="0.2">
      <c r="A29" s="140">
        <f t="shared" si="1"/>
        <v>23.5</v>
      </c>
      <c r="B29" s="6">
        <f t="shared" si="2"/>
        <v>0.41015237375000008</v>
      </c>
      <c r="C29">
        <f>C$4/(1+C$4/'DVCS-Kin'!MProton*(1-COS($B29)))</f>
        <v>4.086338764047083</v>
      </c>
      <c r="D29">
        <f>D$4/(1+D$4/'DVCS-Kin'!MProton*(1-COS($B29)))</f>
        <v>4.8478277379958747</v>
      </c>
      <c r="E29">
        <f>E$4/(1+E$4/'DVCS-Kin'!MProton*(1-COS($B29)))</f>
        <v>5.4611069231940892</v>
      </c>
    </row>
    <row r="30" spans="1:5" x14ac:dyDescent="0.2">
      <c r="A30" s="140">
        <f t="shared" si="1"/>
        <v>24</v>
      </c>
      <c r="B30" s="6">
        <f t="shared" si="2"/>
        <v>0.41887902000000005</v>
      </c>
      <c r="C30">
        <f>C$4/(1+C$4/'DVCS-Kin'!MProton*(1-COS($B30)))</f>
        <v>4.0247349070312035</v>
      </c>
      <c r="D30">
        <f>D$4/(1+D$4/'DVCS-Kin'!MProton*(1-COS($B30)))</f>
        <v>4.7613677518264925</v>
      </c>
      <c r="E30">
        <f>E$4/(1+E$4/'DVCS-Kin'!MProton*(1-COS($B30)))</f>
        <v>5.3516348336296495</v>
      </c>
    </row>
    <row r="31" spans="1:5" x14ac:dyDescent="0.2">
      <c r="A31" s="140">
        <f t="shared" si="1"/>
        <v>24.5</v>
      </c>
      <c r="B31" s="6">
        <f t="shared" si="2"/>
        <v>0.42760566625000002</v>
      </c>
      <c r="C31">
        <f>C$4/(1+C$4/'DVCS-Kin'!MProton*(1-COS($B31)))</f>
        <v>3.9637956089855551</v>
      </c>
      <c r="D31">
        <f>D$4/(1+D$4/'DVCS-Kin'!MProton*(1-COS($B31)))</f>
        <v>4.6763157637450963</v>
      </c>
      <c r="E31">
        <f>E$4/(1+E$4/'DVCS-Kin'!MProton*(1-COS($B31)))</f>
        <v>5.244425328164076</v>
      </c>
    </row>
    <row r="32" spans="1:5" x14ac:dyDescent="0.2">
      <c r="A32" s="140">
        <f t="shared" si="1"/>
        <v>25</v>
      </c>
      <c r="B32" s="6">
        <f t="shared" si="2"/>
        <v>0.43633231250000004</v>
      </c>
      <c r="C32">
        <f>C$4/(1+C$4/'DVCS-Kin'!MProton*(1-COS($B32)))</f>
        <v>3.903548487212523</v>
      </c>
      <c r="D32">
        <f>D$4/(1+D$4/'DVCS-Kin'!MProton*(1-COS($B32)))</f>
        <v>4.5926906926734299</v>
      </c>
      <c r="E32">
        <f>E$4/(1+E$4/'DVCS-Kin'!MProton*(1-COS($B32)))</f>
        <v>5.1394753939385547</v>
      </c>
    </row>
    <row r="33" spans="1:5" x14ac:dyDescent="0.2">
      <c r="A33" s="140">
        <f t="shared" si="1"/>
        <v>25.5</v>
      </c>
      <c r="B33" s="6">
        <f t="shared" si="2"/>
        <v>0.44505895875000001</v>
      </c>
      <c r="C33">
        <f>C$4/(1+C$4/'DVCS-Kin'!MProton*(1-COS($B33)))</f>
        <v>3.8440181543495329</v>
      </c>
      <c r="D33">
        <f>D$4/(1+D$4/'DVCS-Kin'!MProton*(1-COS($B33)))</f>
        <v>4.5105069609082014</v>
      </c>
      <c r="E33">
        <f>E$4/(1+E$4/'DVCS-Kin'!MProton*(1-COS($B33)))</f>
        <v>5.0367767300051298</v>
      </c>
    </row>
    <row r="34" spans="1:5" x14ac:dyDescent="0.2">
      <c r="A34" s="140">
        <f t="shared" si="1"/>
        <v>26</v>
      </c>
      <c r="B34" s="6">
        <f t="shared" si="2"/>
        <v>0.45378560499999998</v>
      </c>
      <c r="C34">
        <f>C$4/(1+C$4/'DVCS-Kin'!MProton*(1-COS($B34)))</f>
        <v>3.7852263722813251</v>
      </c>
      <c r="D34">
        <f>D$4/(1+D$4/'DVCS-Kin'!MProton*(1-COS($B34)))</f>
        <v>4.4297748427783734</v>
      </c>
      <c r="E34">
        <f>E$4/(1+E$4/'DVCS-Kin'!MProton*(1-COS($B34)))</f>
        <v>4.9363163035858229</v>
      </c>
    </row>
    <row r="35" spans="1:5" x14ac:dyDescent="0.2">
      <c r="A35" s="140">
        <f t="shared" si="1"/>
        <v>26.5</v>
      </c>
      <c r="B35" s="6">
        <f t="shared" si="2"/>
        <v>0.46251225125000006</v>
      </c>
      <c r="C35">
        <f>C$4/(1+C$4/'DVCS-Kin'!MProton*(1-COS($B35)))</f>
        <v>3.7271922050137465</v>
      </c>
      <c r="D35">
        <f>D$4/(1+D$4/'DVCS-Kin'!MProton*(1-COS($B35)))</f>
        <v>4.3505007983332673</v>
      </c>
      <c r="E35">
        <f>E$4/(1+E$4/'DVCS-Kin'!MProton*(1-COS($B35)))</f>
        <v>4.8380768687925553</v>
      </c>
    </row>
    <row r="36" spans="1:5" x14ac:dyDescent="0.2">
      <c r="A36" s="140">
        <f t="shared" si="1"/>
        <v>27</v>
      </c>
      <c r="B36" s="6">
        <f t="shared" si="2"/>
        <v>0.47123889750000003</v>
      </c>
      <c r="C36">
        <f>C$4/(1+C$4/'DVCS-Kin'!MProton*(1-COS($B36)))</f>
        <v>3.669932169657478</v>
      </c>
      <c r="D36">
        <f>D$4/(1+D$4/'DVCS-Kin'!MProton*(1-COS($B36)))</f>
        <v>4.2726877914665851</v>
      </c>
      <c r="E36">
        <f>E$4/(1+E$4/'DVCS-Kin'!MProton*(1-COS($B36)))</f>
        <v>4.7420374487192181</v>
      </c>
    </row>
    <row r="41" spans="1:5" x14ac:dyDescent="0.2">
      <c r="A41" s="145" t="s">
        <v>196</v>
      </c>
      <c r="B41" t="s">
        <v>195</v>
      </c>
      <c r="E41" t="s">
        <v>194</v>
      </c>
    </row>
    <row r="42" spans="1:5" x14ac:dyDescent="0.2">
      <c r="A42" s="147">
        <f>1+'DVCS-Kin'!MProton*(1/$E$4-1/E42)</f>
        <v>0.95355633946879992</v>
      </c>
      <c r="B42">
        <f>ACOS(A42)</f>
        <v>0.30596628183502972</v>
      </c>
      <c r="E42">
        <v>6.9340000000000002</v>
      </c>
    </row>
    <row r="43" spans="1:5" x14ac:dyDescent="0.2">
      <c r="A43" s="147">
        <f>1+'DVCS-Kin'!MProton*(1/$E$4-1/E43)</f>
        <v>0.93548287311075795</v>
      </c>
      <c r="B43">
        <f t="shared" ref="B43:B46" si="3">ACOS(A43)</f>
        <v>0.361173252206201</v>
      </c>
      <c r="E43">
        <v>6.117</v>
      </c>
    </row>
    <row r="44" spans="1:5" x14ac:dyDescent="0.2">
      <c r="A44" s="147">
        <f>1+'DVCS-Kin'!MProton*(1/$E$4-1/E44)</f>
        <v>0.93321812451613884</v>
      </c>
      <c r="B44">
        <f t="shared" si="3"/>
        <v>0.36752879291765628</v>
      </c>
      <c r="E44">
        <v>6.0279999999999996</v>
      </c>
    </row>
    <row r="45" spans="1:5" x14ac:dyDescent="0.2">
      <c r="A45" s="147">
        <f>1+'DVCS-Kin'!MProton*(1/$E$4-1/E45)</f>
        <v>0.91645683023027891</v>
      </c>
      <c r="B45">
        <f t="shared" si="3"/>
        <v>0.41166259363405389</v>
      </c>
      <c r="E45">
        <v>5.4420000000000002</v>
      </c>
    </row>
    <row r="46" spans="1:5" x14ac:dyDescent="0.2">
      <c r="A46" s="147">
        <f>1+'DVCS-Kin'!MProton*(1/$E$4-1/E46)</f>
        <v>0.90943348299559024</v>
      </c>
      <c r="B46">
        <f t="shared" si="3"/>
        <v>0.42887661363567298</v>
      </c>
      <c r="E46">
        <v>5.2290000000000001</v>
      </c>
    </row>
  </sheetData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28</vt:i4>
      </vt:variant>
    </vt:vector>
  </HeadingPairs>
  <TitlesOfParts>
    <vt:vector size="34" baseType="lpstr">
      <vt:lpstr>Accel2023</vt:lpstr>
      <vt:lpstr>DVCS-Kin</vt:lpstr>
      <vt:lpstr>Cross Sections</vt:lpstr>
      <vt:lpstr>DIS</vt:lpstr>
      <vt:lpstr>El Kin</vt:lpstr>
      <vt:lpstr>thq_vs_xBj</vt:lpstr>
      <vt:lpstr>Calo_A</vt:lpstr>
      <vt:lpstr>Calo_C</vt:lpstr>
      <vt:lpstr>DeltaT</vt:lpstr>
      <vt:lpstr>deltaTh_e</vt:lpstr>
      <vt:lpstr>dth</vt:lpstr>
      <vt:lpstr>dW2_</vt:lpstr>
      <vt:lpstr>EBeam</vt:lpstr>
      <vt:lpstr>HalfTarget</vt:lpstr>
      <vt:lpstr>HMS_Acc</vt:lpstr>
      <vt:lpstr>HMS_ddelta</vt:lpstr>
      <vt:lpstr>HRS_Acc</vt:lpstr>
      <vt:lpstr>HRS_ddelta</vt:lpstr>
      <vt:lpstr>Injector</vt:lpstr>
      <vt:lpstr>InjectorFY17</vt:lpstr>
      <vt:lpstr>InjectorFY23</vt:lpstr>
      <vt:lpstr>kBeam</vt:lpstr>
      <vt:lpstr>Linac</vt:lpstr>
      <vt:lpstr>LinacFY17</vt:lpstr>
      <vt:lpstr>LinacFY23</vt:lpstr>
      <vt:lpstr>MPr</vt:lpstr>
      <vt:lpstr>'DVCS-Kin'!MProton</vt:lpstr>
      <vt:lpstr>MProton</vt:lpstr>
      <vt:lpstr>nbarn</vt:lpstr>
      <vt:lpstr>'DVCS-Kin'!Print_Area</vt:lpstr>
      <vt:lpstr>'DVCS-Kin'!Print_Titles</vt:lpstr>
      <vt:lpstr>theta</vt:lpstr>
      <vt:lpstr>Theta_e</vt:lpstr>
      <vt:lpstr>thetaDS</vt:lpstr>
    </vt:vector>
  </TitlesOfParts>
  <Company>Université Blaise Pascal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Earl Hyde</dc:creator>
  <cp:lastModifiedBy>Hyde, Charles E.</cp:lastModifiedBy>
  <cp:lastPrinted>2016-02-19T20:25:19Z</cp:lastPrinted>
  <dcterms:created xsi:type="dcterms:W3CDTF">2012-09-07T18:12:13Z</dcterms:created>
  <dcterms:modified xsi:type="dcterms:W3CDTF">2023-05-26T18:20:50Z</dcterms:modified>
</cp:coreProperties>
</file>