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HallC-dvcs/2023-run/"/>
    </mc:Choice>
  </mc:AlternateContent>
  <xr:revisionPtr revIDLastSave="791" documentId="8_{AC3EBA11-9AF7-704D-B22F-A49FC61A1E77}" xr6:coauthVersionLast="47" xr6:coauthVersionMax="47" xr10:uidLastSave="{2A2A0C10-4D18-5348-9332-444FF12F722E}"/>
  <bookViews>
    <workbookView xWindow="25240" yWindow="500" windowWidth="44260" windowHeight="1800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MS_Acc">'DVCS-Kin'!$C$6</definedName>
    <definedName name="HMS_ddelta">'DVCS-Kin'!$C$7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'DVCS-Kin'!$A$1:$P$56</definedName>
    <definedName name="_xlnm.Print_Titles" localSheetId="2">'DVCS-Kin'!$A:$A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  <c r="G58" i="1"/>
  <c r="J17" i="1"/>
  <c r="J21" i="1" s="1"/>
  <c r="J20" i="1"/>
  <c r="J29" i="1"/>
  <c r="J31" i="1"/>
  <c r="J32" i="1"/>
  <c r="J33" i="1" s="1"/>
  <c r="J36" i="1"/>
  <c r="J37" i="1" s="1"/>
  <c r="J38" i="1" s="1"/>
  <c r="J39" i="1" s="1"/>
  <c r="J43" i="1"/>
  <c r="J44" i="1" s="1"/>
  <c r="J51" i="1" s="1"/>
  <c r="J55" i="1"/>
  <c r="G49" i="1"/>
  <c r="F49" i="1"/>
  <c r="E49" i="1"/>
  <c r="D49" i="1"/>
  <c r="C49" i="1"/>
  <c r="G43" i="1"/>
  <c r="H43" i="1"/>
  <c r="C6" i="1"/>
  <c r="J40" i="1" l="1"/>
  <c r="J34" i="1"/>
  <c r="J53" i="1"/>
  <c r="J54" i="1" s="1"/>
  <c r="J22" i="1"/>
  <c r="K58" i="1"/>
  <c r="C56" i="1"/>
  <c r="J23" i="1" l="1"/>
  <c r="J30" i="1" s="1"/>
  <c r="J24" i="1"/>
  <c r="J25" i="1"/>
  <c r="J26" i="1" s="1"/>
  <c r="J27" i="1" l="1"/>
  <c r="J42" i="1"/>
  <c r="J41" i="1"/>
  <c r="J28" i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Q56" i="1"/>
  <c r="W50" i="1"/>
  <c r="W49" i="1"/>
  <c r="Q55" i="1"/>
  <c r="M55" i="1"/>
  <c r="N55" i="1"/>
  <c r="O55" i="1"/>
  <c r="P55" i="1"/>
  <c r="R55" i="1"/>
  <c r="S55" i="1"/>
  <c r="T55" i="1"/>
  <c r="U55" i="1"/>
  <c r="K55" i="1"/>
  <c r="L55" i="1"/>
  <c r="I55" i="1"/>
  <c r="R43" i="1"/>
  <c r="T43" i="1"/>
  <c r="T44" i="1" s="1"/>
  <c r="U43" i="1"/>
  <c r="U44" i="1" s="1"/>
  <c r="S43" i="1"/>
  <c r="S44" i="1" s="1"/>
  <c r="F43" i="1"/>
  <c r="L56" i="1"/>
  <c r="I56" i="1"/>
  <c r="R44" i="1" l="1"/>
  <c r="R51" i="1" s="1"/>
  <c r="E31" i="3"/>
  <c r="C31" i="3"/>
  <c r="D31" i="3"/>
  <c r="A33" i="3"/>
  <c r="B32" i="3"/>
  <c r="S17" i="1"/>
  <c r="T17" i="1"/>
  <c r="U17" i="1"/>
  <c r="R17" i="1"/>
  <c r="I17" i="1"/>
  <c r="K17" i="1"/>
  <c r="L17" i="1"/>
  <c r="M17" i="1"/>
  <c r="N17" i="1"/>
  <c r="O17" i="1"/>
  <c r="P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D41" i="1"/>
  <c r="AD40" i="1"/>
  <c r="S29" i="1"/>
  <c r="T29" i="1"/>
  <c r="U29" i="1"/>
  <c r="R29" i="1"/>
  <c r="S20" i="1"/>
  <c r="S31" i="1" s="1"/>
  <c r="T20" i="1"/>
  <c r="T31" i="1" s="1"/>
  <c r="U20" i="1"/>
  <c r="R20" i="1"/>
  <c r="N20" i="1"/>
  <c r="O20" i="1"/>
  <c r="O31" i="1" s="1"/>
  <c r="P20" i="1"/>
  <c r="N29" i="1"/>
  <c r="O29" i="1"/>
  <c r="P29" i="1"/>
  <c r="N43" i="1"/>
  <c r="N44" i="1" s="1"/>
  <c r="O43" i="1"/>
  <c r="O44" i="1" s="1"/>
  <c r="P43" i="1"/>
  <c r="P44" i="1" s="1"/>
  <c r="M43" i="1"/>
  <c r="M44" i="1" s="1"/>
  <c r="M29" i="1"/>
  <c r="M20" i="1"/>
  <c r="U21" i="1" l="1"/>
  <c r="U22" i="1" s="1"/>
  <c r="U24" i="1" s="1"/>
  <c r="AD42" i="1"/>
  <c r="D32" i="3"/>
  <c r="C32" i="3"/>
  <c r="E32" i="3"/>
  <c r="A34" i="3"/>
  <c r="B33" i="3"/>
  <c r="T21" i="1"/>
  <c r="T22" i="1" s="1"/>
  <c r="N21" i="1"/>
  <c r="N22" i="1" s="1"/>
  <c r="N23" i="1" s="1"/>
  <c r="N30" i="1" s="1"/>
  <c r="C13" i="6"/>
  <c r="F10" i="6"/>
  <c r="H10" i="6" s="1"/>
  <c r="G10" i="6"/>
  <c r="U31" i="1"/>
  <c r="U32" i="1" s="1"/>
  <c r="U33" i="1" s="1"/>
  <c r="U34" i="1" s="1"/>
  <c r="T32" i="1"/>
  <c r="T33" i="1" s="1"/>
  <c r="S32" i="1"/>
  <c r="S33" i="1" s="1"/>
  <c r="U25" i="1"/>
  <c r="U26" i="1" s="1"/>
  <c r="U23" i="1"/>
  <c r="U30" i="1" s="1"/>
  <c r="S21" i="1"/>
  <c r="P31" i="1"/>
  <c r="P32" i="1" s="1"/>
  <c r="P33" i="1" s="1"/>
  <c r="P21" i="1"/>
  <c r="P22" i="1" s="1"/>
  <c r="P24" i="1" s="1"/>
  <c r="O21" i="1"/>
  <c r="N31" i="1"/>
  <c r="O32" i="1"/>
  <c r="O33" i="1" s="1"/>
  <c r="M31" i="1"/>
  <c r="N24" i="1" l="1"/>
  <c r="N25" i="1"/>
  <c r="N26" i="1" s="1"/>
  <c r="N27" i="1" s="1"/>
  <c r="N28" i="1" s="1"/>
  <c r="E33" i="3"/>
  <c r="C33" i="3"/>
  <c r="D33" i="3"/>
  <c r="A35" i="3"/>
  <c r="B34" i="3"/>
  <c r="T23" i="1"/>
  <c r="T30" i="1" s="1"/>
  <c r="T25" i="1"/>
  <c r="T26" i="1" s="1"/>
  <c r="T24" i="1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U27" i="1"/>
  <c r="U28" i="1" s="1"/>
  <c r="S34" i="1"/>
  <c r="T34" i="1"/>
  <c r="S22" i="1"/>
  <c r="P34" i="1"/>
  <c r="P25" i="1"/>
  <c r="P26" i="1" s="1"/>
  <c r="P23" i="1"/>
  <c r="P30" i="1" s="1"/>
  <c r="O22" i="1"/>
  <c r="N32" i="1"/>
  <c r="N33" i="1" s="1"/>
  <c r="N34" i="1" s="1"/>
  <c r="O34" i="1"/>
  <c r="M32" i="1"/>
  <c r="M33" i="1" s="1"/>
  <c r="M60" i="1" l="1"/>
  <c r="C34" i="3"/>
  <c r="D34" i="3"/>
  <c r="E34" i="3"/>
  <c r="A36" i="3"/>
  <c r="B36" i="3" s="1"/>
  <c r="B35" i="3"/>
  <c r="T27" i="1"/>
  <c r="T28" i="1" s="1"/>
  <c r="M62" i="1"/>
  <c r="M63" i="1" s="1"/>
  <c r="M64" i="1" s="1"/>
  <c r="M61" i="1"/>
  <c r="P27" i="1"/>
  <c r="P28" i="1" s="1"/>
  <c r="L14" i="6"/>
  <c r="K25" i="6" s="1"/>
  <c r="D25" i="6"/>
  <c r="C25" i="6"/>
  <c r="D23" i="6"/>
  <c r="H11" i="6"/>
  <c r="F12" i="6"/>
  <c r="F13" i="6" s="1"/>
  <c r="G13" i="6" s="1"/>
  <c r="E13" i="6"/>
  <c r="B14" i="6" s="1"/>
  <c r="S24" i="1"/>
  <c r="S23" i="1"/>
  <c r="S30" i="1" s="1"/>
  <c r="S25" i="1"/>
  <c r="S26" i="1" s="1"/>
  <c r="O23" i="1"/>
  <c r="O30" i="1" s="1"/>
  <c r="O24" i="1"/>
  <c r="O25" i="1"/>
  <c r="O26" i="1" s="1"/>
  <c r="M34" i="1"/>
  <c r="E35" i="3" l="1"/>
  <c r="D35" i="3"/>
  <c r="C35" i="3"/>
  <c r="D36" i="3"/>
  <c r="C36" i="3"/>
  <c r="E36" i="3"/>
  <c r="S27" i="1"/>
  <c r="S28" i="1" s="1"/>
  <c r="H12" i="6"/>
  <c r="I12" i="6"/>
  <c r="G12" i="6"/>
  <c r="L13" i="6"/>
  <c r="K24" i="6" s="1"/>
  <c r="D24" i="6"/>
  <c r="F23" i="6"/>
  <c r="N12" i="6"/>
  <c r="M23" i="6" s="1"/>
  <c r="H13" i="6"/>
  <c r="I13" i="6"/>
  <c r="C14" i="6"/>
  <c r="O27" i="1"/>
  <c r="O28" i="1" s="1"/>
  <c r="D55" i="1"/>
  <c r="E55" i="1"/>
  <c r="F55" i="1"/>
  <c r="G55" i="1"/>
  <c r="H55" i="1"/>
  <c r="C55" i="1"/>
  <c r="F44" i="1"/>
  <c r="F51" i="1" s="1"/>
  <c r="G44" i="1"/>
  <c r="G51" i="1" s="1"/>
  <c r="C43" i="1"/>
  <c r="H8" i="1"/>
  <c r="O42" i="1" s="1"/>
  <c r="C8" i="1"/>
  <c r="G20" i="1"/>
  <c r="G29" i="1"/>
  <c r="F20" i="1"/>
  <c r="F31" i="1" s="1"/>
  <c r="H20" i="1"/>
  <c r="H31" i="1" s="1"/>
  <c r="F29" i="1"/>
  <c r="H29" i="1"/>
  <c r="D29" i="1"/>
  <c r="E29" i="1"/>
  <c r="C29" i="1"/>
  <c r="D20" i="1"/>
  <c r="E20" i="1"/>
  <c r="C20" i="1"/>
  <c r="J12" i="1"/>
  <c r="R31" i="1"/>
  <c r="C44" i="1" l="1"/>
  <c r="S42" i="1"/>
  <c r="O41" i="1"/>
  <c r="F36" i="1"/>
  <c r="K36" i="1"/>
  <c r="L36" i="1"/>
  <c r="T36" i="1"/>
  <c r="T37" i="1" s="1"/>
  <c r="T38" i="1" s="1"/>
  <c r="T39" i="1" s="1"/>
  <c r="T40" i="1" s="1"/>
  <c r="P36" i="1"/>
  <c r="P37" i="1" s="1"/>
  <c r="P38" i="1" s="1"/>
  <c r="P39" i="1" s="1"/>
  <c r="P40" i="1" s="1"/>
  <c r="N36" i="1"/>
  <c r="N37" i="1" s="1"/>
  <c r="N38" i="1" s="1"/>
  <c r="N39" i="1" s="1"/>
  <c r="N40" i="1" s="1"/>
  <c r="I36" i="1"/>
  <c r="S36" i="1"/>
  <c r="S37" i="1" s="1"/>
  <c r="S38" i="1" s="1"/>
  <c r="S39" i="1" s="1"/>
  <c r="S40" i="1" s="1"/>
  <c r="O36" i="1"/>
  <c r="O37" i="1" s="1"/>
  <c r="O38" i="1" s="1"/>
  <c r="O39" i="1" s="1"/>
  <c r="O40" i="1" s="1"/>
  <c r="U36" i="1"/>
  <c r="U37" i="1" s="1"/>
  <c r="U38" i="1" s="1"/>
  <c r="U39" i="1" s="1"/>
  <c r="U40" i="1" s="1"/>
  <c r="R36" i="1"/>
  <c r="M36" i="1"/>
  <c r="M37" i="1" s="1"/>
  <c r="M38" i="1" s="1"/>
  <c r="M39" i="1" s="1"/>
  <c r="M40" i="1" s="1"/>
  <c r="W55" i="1"/>
  <c r="U41" i="1"/>
  <c r="U42" i="1"/>
  <c r="N41" i="1"/>
  <c r="N42" i="1"/>
  <c r="T42" i="1"/>
  <c r="P42" i="1"/>
  <c r="T41" i="1"/>
  <c r="P41" i="1"/>
  <c r="S41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R32" i="1"/>
  <c r="R33" i="1" s="1"/>
  <c r="R34" i="1" s="1"/>
  <c r="E36" i="1"/>
  <c r="H36" i="1"/>
  <c r="D36" i="1"/>
  <c r="G36" i="1"/>
  <c r="G31" i="1"/>
  <c r="G21" i="1"/>
  <c r="G53" i="1" s="1"/>
  <c r="G54" i="1" s="1"/>
  <c r="F21" i="1"/>
  <c r="H21" i="1"/>
  <c r="H32" i="1"/>
  <c r="H33" i="1" s="1"/>
  <c r="H34" i="1" s="1"/>
  <c r="F32" i="1"/>
  <c r="F33" i="1" s="1"/>
  <c r="F34" i="1" s="1"/>
  <c r="R21" i="1"/>
  <c r="R53" i="1" s="1"/>
  <c r="R54" i="1" s="1"/>
  <c r="T51" i="1"/>
  <c r="U51" i="1"/>
  <c r="S51" i="1"/>
  <c r="F22" i="1" l="1"/>
  <c r="F23" i="1" s="1"/>
  <c r="F30" i="1" s="1"/>
  <c r="F53" i="1"/>
  <c r="F54" i="1" s="1"/>
  <c r="H22" i="1"/>
  <c r="H24" i="1" s="1"/>
  <c r="H53" i="1"/>
  <c r="H54" i="1" s="1"/>
  <c r="E14" i="6"/>
  <c r="F14" i="6"/>
  <c r="M21" i="1"/>
  <c r="M22" i="1" s="1"/>
  <c r="F25" i="1"/>
  <c r="F26" i="1" s="1"/>
  <c r="F24" i="1"/>
  <c r="G32" i="1"/>
  <c r="G33" i="1" s="1"/>
  <c r="G34" i="1" s="1"/>
  <c r="G22" i="1"/>
  <c r="R22" i="1"/>
  <c r="R25" i="1" s="1"/>
  <c r="R26" i="1" s="1"/>
  <c r="E31" i="1"/>
  <c r="E12" i="1"/>
  <c r="C12" i="1" s="1"/>
  <c r="C11" i="1"/>
  <c r="C31" i="1"/>
  <c r="P51" i="1"/>
  <c r="N51" i="1"/>
  <c r="M51" i="1"/>
  <c r="L43" i="1"/>
  <c r="L44" i="1" s="1"/>
  <c r="K43" i="1"/>
  <c r="I43" i="1"/>
  <c r="I44" i="1" s="1"/>
  <c r="E43" i="1"/>
  <c r="D43" i="1"/>
  <c r="C51" i="1"/>
  <c r="Q27" i="1"/>
  <c r="C36" i="1"/>
  <c r="C4" i="1"/>
  <c r="H23" i="1" l="1"/>
  <c r="H30" i="1" s="1"/>
  <c r="H25" i="1"/>
  <c r="H26" i="1" s="1"/>
  <c r="H42" i="1" s="1"/>
  <c r="D44" i="1"/>
  <c r="K44" i="1"/>
  <c r="K51" i="1" s="1"/>
  <c r="R41" i="1"/>
  <c r="R42" i="1"/>
  <c r="H14" i="6"/>
  <c r="I14" i="6"/>
  <c r="G14" i="6"/>
  <c r="M24" i="1"/>
  <c r="M23" i="1"/>
  <c r="M30" i="1" s="1"/>
  <c r="M25" i="1"/>
  <c r="E44" i="1"/>
  <c r="E51" i="1" s="1"/>
  <c r="F42" i="1"/>
  <c r="F41" i="1"/>
  <c r="H41" i="1"/>
  <c r="G37" i="1"/>
  <c r="G38" i="1" s="1"/>
  <c r="G39" i="1" s="1"/>
  <c r="G40" i="1" s="1"/>
  <c r="H37" i="1"/>
  <c r="H38" i="1" s="1"/>
  <c r="H39" i="1" s="1"/>
  <c r="H40" i="1" s="1"/>
  <c r="F37" i="1"/>
  <c r="F38" i="1" s="1"/>
  <c r="F39" i="1" s="1"/>
  <c r="F40" i="1" s="1"/>
  <c r="F27" i="1"/>
  <c r="F28" i="1" s="1"/>
  <c r="G24" i="1"/>
  <c r="G23" i="1"/>
  <c r="G30" i="1" s="1"/>
  <c r="G25" i="1"/>
  <c r="G26" i="1" s="1"/>
  <c r="C32" i="1"/>
  <c r="C33" i="1" s="1"/>
  <c r="C34" i="1" s="1"/>
  <c r="E32" i="1"/>
  <c r="E33" i="1" s="1"/>
  <c r="E34" i="1" s="1"/>
  <c r="I29" i="1"/>
  <c r="I20" i="1"/>
  <c r="T53" i="1"/>
  <c r="R37" i="1"/>
  <c r="R27" i="1"/>
  <c r="R24" i="1"/>
  <c r="R23" i="1"/>
  <c r="R30" i="1" s="1"/>
  <c r="U53" i="1"/>
  <c r="M53" i="1"/>
  <c r="M54" i="1" s="1"/>
  <c r="N53" i="1"/>
  <c r="N54" i="1" s="1"/>
  <c r="P53" i="1"/>
  <c r="P54" i="1" s="1"/>
  <c r="K37" i="1"/>
  <c r="E37" i="1"/>
  <c r="E38" i="1" s="1"/>
  <c r="I37" i="1"/>
  <c r="C37" i="1"/>
  <c r="C38" i="1" s="1"/>
  <c r="D37" i="1"/>
  <c r="L37" i="1"/>
  <c r="D51" i="1"/>
  <c r="L51" i="1"/>
  <c r="E21" i="1"/>
  <c r="E22" i="1" s="1"/>
  <c r="I51" i="1"/>
  <c r="O51" i="1"/>
  <c r="D21" i="1"/>
  <c r="D53" i="1" s="1"/>
  <c r="D54" i="1" s="1"/>
  <c r="D31" i="1"/>
  <c r="L19" i="1"/>
  <c r="O53" i="1"/>
  <c r="O54" i="1" s="1"/>
  <c r="H27" i="1" l="1"/>
  <c r="H28" i="1" s="1"/>
  <c r="R28" i="1"/>
  <c r="M26" i="1"/>
  <c r="M27" i="1" s="1"/>
  <c r="M28" i="1" s="1"/>
  <c r="L60" i="1"/>
  <c r="G23" i="6"/>
  <c r="O12" i="6"/>
  <c r="N23" i="6" s="1"/>
  <c r="O14" i="6"/>
  <c r="N25" i="6" s="1"/>
  <c r="G25" i="6"/>
  <c r="O13" i="6"/>
  <c r="N24" i="6" s="1"/>
  <c r="G24" i="6"/>
  <c r="R38" i="1"/>
  <c r="R39" i="1" s="1"/>
  <c r="R40" i="1" s="1"/>
  <c r="G42" i="1"/>
  <c r="G41" i="1"/>
  <c r="D32" i="1"/>
  <c r="D33" i="1" s="1"/>
  <c r="D38" i="1"/>
  <c r="D39" i="1" s="1"/>
  <c r="E39" i="1"/>
  <c r="E40" i="1" s="1"/>
  <c r="G27" i="1"/>
  <c r="G28" i="1" s="1"/>
  <c r="C39" i="1"/>
  <c r="C40" i="1" s="1"/>
  <c r="L20" i="1"/>
  <c r="L21" i="1" s="1"/>
  <c r="L22" i="1" s="1"/>
  <c r="L24" i="1" s="1"/>
  <c r="L29" i="1"/>
  <c r="K29" i="1"/>
  <c r="K20" i="1"/>
  <c r="D22" i="1"/>
  <c r="D24" i="1" s="1"/>
  <c r="S53" i="1"/>
  <c r="E53" i="1"/>
  <c r="E54" i="1" s="1"/>
  <c r="E23" i="1"/>
  <c r="E30" i="1" s="1"/>
  <c r="E24" i="1"/>
  <c r="C21" i="1"/>
  <c r="C53" i="1" s="1"/>
  <c r="C54" i="1" s="1"/>
  <c r="I31" i="1"/>
  <c r="I38" i="1" s="1"/>
  <c r="I39" i="1" s="1"/>
  <c r="I21" i="1"/>
  <c r="I53" i="1" s="1"/>
  <c r="I54" i="1" s="1"/>
  <c r="E25" i="1"/>
  <c r="E60" i="1" s="1"/>
  <c r="L61" i="1" l="1"/>
  <c r="L62" i="1"/>
  <c r="L63" i="1" s="1"/>
  <c r="L64" i="1" s="1"/>
  <c r="M42" i="1"/>
  <c r="M41" i="1"/>
  <c r="E62" i="1"/>
  <c r="E63" i="1" s="1"/>
  <c r="E64" i="1" s="1"/>
  <c r="C22" i="1"/>
  <c r="C23" i="1" s="1"/>
  <c r="C30" i="1" s="1"/>
  <c r="K31" i="1"/>
  <c r="K38" i="1" s="1"/>
  <c r="K39" i="1" s="1"/>
  <c r="I32" i="1"/>
  <c r="K21" i="1"/>
  <c r="K22" i="1" s="1"/>
  <c r="K25" i="1" s="1"/>
  <c r="D25" i="1"/>
  <c r="D23" i="1"/>
  <c r="D30" i="1" s="1"/>
  <c r="I22" i="1"/>
  <c r="I25" i="1" s="1"/>
  <c r="I26" i="1" s="1"/>
  <c r="D34" i="1"/>
  <c r="D40" i="1"/>
  <c r="E26" i="1"/>
  <c r="E61" i="1" s="1"/>
  <c r="L53" i="1"/>
  <c r="L54" i="1" s="1"/>
  <c r="L31" i="1"/>
  <c r="L32" i="1" s="1"/>
  <c r="L23" i="1"/>
  <c r="L30" i="1" s="1"/>
  <c r="L25" i="1"/>
  <c r="L38" i="1" l="1"/>
  <c r="L39" i="1" s="1"/>
  <c r="I33" i="1"/>
  <c r="I34" i="1" s="1"/>
  <c r="L26" i="1"/>
  <c r="L27" i="1" s="1"/>
  <c r="L28" i="1" s="1"/>
  <c r="K60" i="1"/>
  <c r="K26" i="1"/>
  <c r="K27" i="1" s="1"/>
  <c r="J60" i="1"/>
  <c r="J62" i="1" s="1"/>
  <c r="J63" i="1" s="1"/>
  <c r="I41" i="1"/>
  <c r="I42" i="1"/>
  <c r="D26" i="1"/>
  <c r="D41" i="1" s="1"/>
  <c r="D60" i="1"/>
  <c r="D62" i="1" s="1"/>
  <c r="D63" i="1" s="1"/>
  <c r="C24" i="1"/>
  <c r="C25" i="1"/>
  <c r="C26" i="1" s="1"/>
  <c r="H44" i="1" s="1"/>
  <c r="H51" i="1" s="1"/>
  <c r="K32" i="1"/>
  <c r="K33" i="1" s="1"/>
  <c r="K40" i="1" s="1"/>
  <c r="D42" i="1"/>
  <c r="E42" i="1"/>
  <c r="E41" i="1"/>
  <c r="K53" i="1"/>
  <c r="K54" i="1" s="1"/>
  <c r="I27" i="1"/>
  <c r="D27" i="1"/>
  <c r="D28" i="1" s="1"/>
  <c r="L33" i="1"/>
  <c r="E27" i="1"/>
  <c r="E28" i="1" s="1"/>
  <c r="K24" i="1"/>
  <c r="K23" i="1"/>
  <c r="K30" i="1" s="1"/>
  <c r="I24" i="1"/>
  <c r="I28" i="1" s="1"/>
  <c r="I23" i="1"/>
  <c r="I30" i="1" s="1"/>
  <c r="K28" i="1" l="1"/>
  <c r="I40" i="1"/>
  <c r="L40" i="1"/>
  <c r="K34" i="1"/>
  <c r="K41" i="1"/>
  <c r="K42" i="1"/>
  <c r="J64" i="1"/>
  <c r="K62" i="1"/>
  <c r="K63" i="1" s="1"/>
  <c r="K64" i="1" s="1"/>
  <c r="K61" i="1"/>
  <c r="L42" i="1"/>
  <c r="L41" i="1"/>
  <c r="D64" i="1"/>
  <c r="D61" i="1"/>
  <c r="C42" i="1"/>
  <c r="C41" i="1"/>
  <c r="C27" i="1"/>
  <c r="C28" i="1" s="1"/>
  <c r="J61" i="1"/>
  <c r="L34" i="1"/>
</calcChain>
</file>

<file path=xl/sharedStrings.xml><?xml version="1.0" encoding="utf-8"?>
<sst xmlns="http://schemas.openxmlformats.org/spreadsheetml/2006/main" count="296" uniqueCount="208">
  <si>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</si>
  <si>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</si>
  <si>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</si>
  <si>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</si>
  <si>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</si>
  <si>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</si>
  <si>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</si>
  <si>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</si>
  <si>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</si>
  <si>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</si>
  <si>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</si>
  <si>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</si>
  <si>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</si>
  <si>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</si>
  <si>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</si>
  <si>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</si>
  <si>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</si>
  <si>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</si>
  <si>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</si>
  <si>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</si>
  <si>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</si>
  <si>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</si>
  <si>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</si>
  <si>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</si>
  <si>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</si>
  <si>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</si>
  <si>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</si>
  <si>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</si>
  <si>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</si>
  <si>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</si>
  <si>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</si>
  <si>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</si>
  <si>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</si>
  <si>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</si>
  <si>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</si>
  <si>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</si>
  <si>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</si>
  <si>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</si>
  <si>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</si>
  <si>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</si>
  <si>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</si>
  <si>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</si>
  <si>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</si>
  <si>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</si>
  <si>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</si>
  <si>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</si>
  <si>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</si>
  <si>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</si>
  <si>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</si>
  <si>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</si>
  <si>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</si>
  <si>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</si>
  <si>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</si>
  <si>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</si>
  <si>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5 Pass</t>
  </si>
  <si>
    <t>2 days</t>
  </si>
  <si>
    <t>2 Pass</t>
  </si>
  <si>
    <t>1 week</t>
  </si>
  <si>
    <t>4 pass</t>
  </si>
  <si>
    <t>3 weeks</t>
  </si>
  <si>
    <t>5 pass</t>
  </si>
  <si>
    <t>2 pass</t>
  </si>
  <si>
    <t>DVCS</t>
  </si>
  <si>
    <t>9 weeks</t>
  </si>
  <si>
    <t>5 weeks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</si>
  <si>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</si>
  <si>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</si>
  <si>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</si>
  <si>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</si>
  <si>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</si>
  <si>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</si>
  <si>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</si>
  <si>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</si>
  <si>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</si>
  <si>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</si>
  <si>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</si>
  <si>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</si>
  <si>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</si>
  <si>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</si>
  <si>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</si>
  <si>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</si>
  <si>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</si>
  <si>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</si>
  <si>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</si>
  <si>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</si>
  <si>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</si>
  <si>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</si>
  <si>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</si>
  <si>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</si>
  <si>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</si>
  <si>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</si>
  <si>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</si>
  <si>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</si>
  <si>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</si>
  <si>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</si>
  <si>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</si>
  <si>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</si>
  <si>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</si>
  <si>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</si>
  <si>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</si>
  <si>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</si>
  <si>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</si>
  <si>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</si>
  <si>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</si>
  <si>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</si>
  <si>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</si>
  <si>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</si>
  <si>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</si>
  <si>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</si>
  <si>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</si>
  <si>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</si>
  <si>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</si>
  <si>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</si>
  <si>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</si>
  <si>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</si>
  <si>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</si>
  <si>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</si>
  <si>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</si>
  <si>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</si>
  <si>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</si>
  <si>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</si>
  <si>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</si>
  <si>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</si>
  <si>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</si>
  <si>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</si>
  <si>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</si>
  <si>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</si>
  <si>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</si>
  <si>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</si>
  <si>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</si>
  <si>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</si>
  <si>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</si>
  <si>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</si>
  <si>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</si>
  <si>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</si>
  <si>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</si>
  <si>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</si>
  <si>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</si>
  <si>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</si>
  <si>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</si>
  <si>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</si>
  <si>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</si>
  <si>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</si>
  <si>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</si>
  <si>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</si>
  <si>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</si>
  <si>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</si>
  <si>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</si>
  <si>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</si>
  <si>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</si>
  <si>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</si>
  <si>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</si>
  <si>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</si>
  <si>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</si>
  <si>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</si>
  <si>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</si>
  <si>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</si>
  <si>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</si>
  <si>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</si>
  <si>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</si>
  <si>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</si>
  <si>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</si>
  <si>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</si>
  <si>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</si>
  <si>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</si>
  <si>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</si>
  <si>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</si>
  <si>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</si>
  <si>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</si>
  <si>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</si>
  <si>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</si>
  <si>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</si>
  <si>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PAC Days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</si>
  <si>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</si>
  <si>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</si>
  <si>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</si>
  <si>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</si>
  <si>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</si>
  <si>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</si>
  <si>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</si>
  <si>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</si>
  <si>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</si>
  <si>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</si>
  <si>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</si>
  <si>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</si>
  <si>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</si>
  <si>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</si>
  <si>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</si>
  <si>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</si>
  <si>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</si>
  <si>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</si>
  <si>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</si>
  <si>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</si>
  <si>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</si>
  <si>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</si>
  <si>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</si>
  <si>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</si>
  <si>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</si>
  <si>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</si>
  <si>
    <t>&lt;d4sig&gt;</t>
  </si>
  <si>
    <t>&lt;d4sig&gt; is dvcs cross section, averaged over phi_gg at t = tmin-0.05 GeV2</t>
  </si>
  <si>
    <t xml:space="preserve">&lt;d4sig&gt; = </t>
  </si>
  <si>
    <t>Charge (H target)</t>
  </si>
  <si>
    <t>Days at 3-Pass</t>
  </si>
  <si>
    <t>Days at 4-Pass</t>
  </si>
  <si>
    <t>Days at 5-Pass</t>
  </si>
  <si>
    <t>??</t>
  </si>
  <si>
    <t>DVCS-NPS 2023 Kinematics,     Full Energy CEBAF                        (v.0) 5 June 2023.                           C.Hyde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</si>
</sst>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6" applyNumberFormat="0" applyAlignment="0" applyProtection="0"/>
    <xf numFmtId="0" fontId="8" fillId="9" borderId="27" applyNumberFormat="0" applyAlignment="0" applyProtection="0"/>
    <xf numFmtId="0" fontId="6" fillId="10" borderId="0" applyNumberFormat="0" applyBorder="0" applyAlignment="0" applyProtection="0"/>
  </cellStyleXfs>
  <cellXfs count="172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164" fontId="1" fillId="0" borderId="21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0" fontId="1" fillId="2" borderId="12" xfId="0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9" fontId="0" fillId="0" borderId="0" xfId="0" applyNumberFormat="1"/>
    <xf numFmtId="0" fontId="1" fillId="0" borderId="20" xfId="0" applyFont="1" applyBorder="1"/>
    <xf numFmtId="0" fontId="1" fillId="0" borderId="1" xfId="0" applyFont="1" applyBorder="1"/>
    <xf numFmtId="2" fontId="1" fillId="0" borderId="9" xfId="0" applyNumberFormat="1" applyFont="1" applyBorder="1"/>
    <xf numFmtId="2" fontId="1" fillId="0" borderId="24" xfId="0" applyNumberFormat="1" applyFont="1" applyBorder="1" applyAlignment="1">
      <alignment horizontal="center"/>
    </xf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2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5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5" xfId="0" applyNumberFormat="1" applyFill="1" applyBorder="1"/>
    <xf numFmtId="166" fontId="1" fillId="5" borderId="12" xfId="0" applyNumberFormat="1" applyFont="1" applyFill="1" applyBorder="1"/>
    <xf numFmtId="0" fontId="1" fillId="5" borderId="12" xfId="0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0" fontId="1" fillId="6" borderId="12" xfId="0" applyFont="1" applyFill="1" applyBorder="1"/>
    <xf numFmtId="0" fontId="1" fillId="6" borderId="18" xfId="0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1" fontId="0" fillId="6" borderId="19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6" xfId="77" applyBorder="1"/>
    <xf numFmtId="0" fontId="7" fillId="8" borderId="26" xfId="75"/>
    <xf numFmtId="0" fontId="8" fillId="9" borderId="27" xfId="76"/>
    <xf numFmtId="0" fontId="6" fillId="10" borderId="27" xfId="77" applyBorder="1"/>
    <xf numFmtId="0" fontId="8" fillId="0" borderId="0" xfId="76" applyFill="1" applyBorder="1"/>
    <xf numFmtId="0" fontId="8" fillId="9" borderId="28" xfId="76" applyBorder="1"/>
    <xf numFmtId="0" fontId="8" fillId="0" borderId="29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2" fontId="0" fillId="0" borderId="11" xfId="0" applyNumberFormat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30" xfId="0" applyFont="1" applyBorder="1"/>
    <xf numFmtId="0" fontId="0" fillId="0" borderId="25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165" fontId="1" fillId="7" borderId="25" xfId="0" applyNumberFormat="1" applyFont="1" applyFill="1" applyBorder="1"/>
    <xf numFmtId="165" fontId="1" fillId="0" borderId="11" xfId="0" applyNumberFormat="1" applyFont="1" applyBorder="1"/>
    <xf numFmtId="0" fontId="0" fillId="0" borderId="0" xfId="0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22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164" fontId="1" fillId="5" borderId="24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164" fontId="1" fillId="6" borderId="24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164" fontId="1" fillId="7" borderId="2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1" fillId="0" borderId="4" xfId="0" applyNumberFormat="1" applyFont="1" applyBorder="1"/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5" borderId="12" xfId="0" applyNumberFormat="1" applyFont="1" applyFill="1" applyBorder="1"/>
    <xf numFmtId="2" fontId="1" fillId="6" borderId="12" xfId="0" applyNumberFormat="1" applyFont="1" applyFill="1" applyBorder="1"/>
    <xf numFmtId="2" fontId="1" fillId="6" borderId="18" xfId="0" applyNumberFormat="1" applyFont="1" applyFill="1" applyBorder="1"/>
    <xf numFmtId="2" fontId="1" fillId="7" borderId="12" xfId="0" applyNumberFormat="1" applyFont="1" applyFill="1" applyBorder="1"/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64EDEC"/>
      <color rgb="FFFFC280"/>
      <color rgb="FFF893E9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'DVCS-Kin'!$W$19:$AA$19</c:f>
              <c:numCache>
                <c:formatCode>General</c:formatCode>
                <c:ptCount val="5"/>
              </c:numCache>
            </c:numRef>
          </c:xVal>
          <c:yVal>
            <c:numRef>
              <c:f>'DVCS-Kin'!$W$26:$AA$26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3</xdr:col>
      <xdr:colOff>787400</xdr:colOff>
      <xdr:row>68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F8A03-444C-7DED-EFED-2173FCC5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080" y="13258800"/>
          <a:ext cx="231140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40640</xdr:colOff>
      <xdr:row>69</xdr:row>
      <xdr:rowOff>71120</xdr:rowOff>
    </xdr:from>
    <xdr:to>
      <xdr:col>3</xdr:col>
      <xdr:colOff>442422</xdr:colOff>
      <xdr:row>71</xdr:row>
      <xdr:rowOff>193040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333DB5-34AD-A72A-44FA-D7EFA9D63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" y="13939520"/>
          <a:ext cx="3073862" cy="528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O1" t="s">
        <v>135</v>
      </c>
    </row>
    <row r="2" spans="1:15" x14ac:dyDescent="0.2">
      <c r="A2" s="117">
        <v>4</v>
      </c>
      <c r="B2" s="117">
        <v>5</v>
      </c>
      <c r="C2" s="117">
        <v>5</v>
      </c>
      <c r="D2" s="118">
        <f>0.1128*E2</f>
        <v>118.10159999999999</v>
      </c>
      <c r="E2" s="118">
        <v>1047</v>
      </c>
      <c r="F2" s="118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136</v>
      </c>
    </row>
    <row r="3" spans="1:15" x14ac:dyDescent="0.2">
      <c r="D3" t="s">
        <v>137</v>
      </c>
      <c r="E3" t="s">
        <v>137</v>
      </c>
      <c r="F3" t="s">
        <v>137</v>
      </c>
      <c r="H3" t="s">
        <v>138</v>
      </c>
      <c r="I3" t="s">
        <v>139</v>
      </c>
      <c r="J3" t="s">
        <v>140</v>
      </c>
      <c r="K3" t="s">
        <v>141</v>
      </c>
      <c r="O3" t="s">
        <v>142</v>
      </c>
    </row>
    <row r="4" spans="1:15" x14ac:dyDescent="0.2">
      <c r="E4" t="s">
        <v>137</v>
      </c>
      <c r="G4" t="s">
        <v>137</v>
      </c>
      <c r="H4" t="s">
        <v>143</v>
      </c>
    </row>
    <row r="5" spans="1:15" x14ac:dyDescent="0.2">
      <c r="F5" t="s">
        <v>144</v>
      </c>
      <c r="G5" s="118">
        <v>-9.6999999999999993</v>
      </c>
      <c r="H5" s="119">
        <f>G5-90</f>
        <v>-99.7</v>
      </c>
      <c r="I5" t="s">
        <v>145</v>
      </c>
      <c r="J5" t="s">
        <v>137</v>
      </c>
    </row>
    <row r="6" spans="1:15" x14ac:dyDescent="0.2">
      <c r="E6" t="s">
        <v>137</v>
      </c>
      <c r="H6">
        <f>G5+90</f>
        <v>80.3</v>
      </c>
      <c r="I6" t="s">
        <v>146</v>
      </c>
    </row>
    <row r="7" spans="1:15" x14ac:dyDescent="0.2">
      <c r="A7" t="s">
        <v>137</v>
      </c>
      <c r="B7" t="s">
        <v>147</v>
      </c>
      <c r="C7">
        <v>1</v>
      </c>
      <c r="H7" t="s">
        <v>137</v>
      </c>
      <c r="J7" s="4" t="s">
        <v>137</v>
      </c>
      <c r="K7" t="s">
        <v>137</v>
      </c>
    </row>
    <row r="8" spans="1:15" x14ac:dyDescent="0.2">
      <c r="A8" t="s">
        <v>148</v>
      </c>
      <c r="B8">
        <f>$D$2+$E$2</f>
        <v>1165.1016</v>
      </c>
      <c r="K8" t="s">
        <v>137</v>
      </c>
    </row>
    <row r="9" spans="1:15" x14ac:dyDescent="0.2">
      <c r="A9" t="s">
        <v>149</v>
      </c>
      <c r="B9" t="s">
        <v>150</v>
      </c>
      <c r="C9" t="s">
        <v>151</v>
      </c>
      <c r="D9" t="s">
        <v>152</v>
      </c>
      <c r="E9" t="s">
        <v>153</v>
      </c>
      <c r="F9" t="s">
        <v>154</v>
      </c>
      <c r="G9" t="s">
        <v>155</v>
      </c>
      <c r="H9" t="s">
        <v>156</v>
      </c>
      <c r="I9" t="s">
        <v>157</v>
      </c>
      <c r="J9" t="s">
        <v>158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159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160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161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162</v>
      </c>
      <c r="C16" s="120">
        <f>CHOOSE(A2,C10,C11,C12,C13,C14)</f>
        <v>8482.9058909642172</v>
      </c>
    </row>
    <row r="17" spans="1:15" x14ac:dyDescent="0.2">
      <c r="B17" t="s">
        <v>163</v>
      </c>
      <c r="C17" s="120">
        <f>CHOOSE(B2,C10,C11,C12,C13,C14)</f>
        <v>10557.517625633993</v>
      </c>
      <c r="H17" t="s">
        <v>137</v>
      </c>
      <c r="I17" t="s">
        <v>137</v>
      </c>
    </row>
    <row r="18" spans="1:15" x14ac:dyDescent="0.2">
      <c r="B18" t="s">
        <v>92</v>
      </c>
      <c r="C18" s="120">
        <f>CHOOSE(C2,C10,C11,C12,C13,C14)</f>
        <v>10557.517625633993</v>
      </c>
    </row>
    <row r="19" spans="1:15" x14ac:dyDescent="0.2">
      <c r="F19" t="s">
        <v>137</v>
      </c>
      <c r="G19" t="s">
        <v>137</v>
      </c>
      <c r="H19" t="s">
        <v>137</v>
      </c>
    </row>
    <row r="20" spans="1:15" x14ac:dyDescent="0.2">
      <c r="C20" s="121"/>
      <c r="D20" s="121"/>
      <c r="E20" s="121"/>
      <c r="F20" s="121"/>
      <c r="G20" s="121"/>
      <c r="H20" s="121"/>
      <c r="I20" t="s">
        <v>164</v>
      </c>
    </row>
    <row r="21" spans="1:15" x14ac:dyDescent="0.2">
      <c r="A21" s="119" t="s">
        <v>165</v>
      </c>
      <c r="B21" s="119"/>
      <c r="C21" s="122"/>
      <c r="D21" s="122"/>
      <c r="E21" s="122"/>
      <c r="F21" s="122"/>
      <c r="G21" s="122"/>
      <c r="I21" s="119"/>
      <c r="J21" s="119">
        <v>1</v>
      </c>
      <c r="K21" s="119">
        <v>2</v>
      </c>
      <c r="L21" s="119">
        <v>3</v>
      </c>
      <c r="M21" s="119">
        <v>4</v>
      </c>
      <c r="N21" s="119">
        <v>5</v>
      </c>
    </row>
    <row r="22" spans="1:15" x14ac:dyDescent="0.2">
      <c r="A22" s="119"/>
      <c r="B22" s="119"/>
      <c r="C22" s="119">
        <v>1</v>
      </c>
      <c r="D22" s="119">
        <v>2</v>
      </c>
      <c r="E22" s="119">
        <v>3</v>
      </c>
      <c r="F22" s="119">
        <v>4</v>
      </c>
      <c r="G22" s="119">
        <v>5</v>
      </c>
      <c r="I22" s="119" t="s">
        <v>137</v>
      </c>
      <c r="J22" s="119"/>
      <c r="K22" s="119"/>
      <c r="L22" s="119"/>
      <c r="M22" s="119"/>
      <c r="N22" s="119"/>
    </row>
    <row r="23" spans="1:15" x14ac:dyDescent="0.2">
      <c r="A23" s="119"/>
      <c r="B23" s="119" t="s">
        <v>159</v>
      </c>
      <c r="C23" s="119">
        <f>POWER(COS(MOD(CHOOSE(1,$G$10,$G$11,$G$12,$G$13,$G$14)/PI(),2)*PI()),2)</f>
        <v>0.17166721651079389</v>
      </c>
      <c r="D23" s="119">
        <f>POWER(COS(MOD(CHOOSE(2,$G$10,$G$11,$G$12,$G$13,$G$14)/PI(),2)*PI()),2)</f>
        <v>0.98404169669800579</v>
      </c>
      <c r="E23" s="119">
        <f>POWER(COS(MOD(CHOOSE(3,$G$10,$G$11,$G$12,$G$13,$G$14)/PI(),2)*PI()),2)</f>
        <v>0.96417723259127308</v>
      </c>
      <c r="F23" s="119">
        <f>POWER(COS(MOD(CHOOSE(4,$G$10,$G$11,$G$12,$G$13,$G$14)/PI(),2)*PI()),2)</f>
        <v>0.31758025951015018</v>
      </c>
      <c r="G23" s="119">
        <f>POWER(COS(MOD(CHOOSE(5,$G$10,$G$11,$G$12,$G$13,$G$14)/PI(),2)*PI()),2)</f>
        <v>0.89072030246743894</v>
      </c>
      <c r="I23" s="119" t="s">
        <v>159</v>
      </c>
      <c r="J23" s="119">
        <f t="shared" ref="J23:N25" si="0">IF(K12&lt;-260,360+K12,IF(K12&lt;-100,180+K12,IF(K12&lt;=0,-K12,IF(K12&lt;=100,-K12,IF(K12&lt;=260,180-K12,360-K12)))))</f>
        <v>65.523031520479435</v>
      </c>
      <c r="K23" s="119">
        <f t="shared" si="0"/>
        <v>-7.2573473451240034</v>
      </c>
      <c r="L23" s="119">
        <f t="shared" si="0"/>
        <v>10.91012896807274</v>
      </c>
      <c r="M23" s="119">
        <f t="shared" si="0"/>
        <v>-55.698852212641157</v>
      </c>
      <c r="N23" s="119">
        <f t="shared" si="0"/>
        <v>-19.303667136195486</v>
      </c>
    </row>
    <row r="24" spans="1:15" x14ac:dyDescent="0.2">
      <c r="A24" s="119"/>
      <c r="B24" s="119" t="s">
        <v>160</v>
      </c>
      <c r="C24" s="119">
        <f>POWER(COS(MOD(CHOOSE(1,$H$10,$H$11,$H$12,$H$13,$H$14)/PI(),2)*PI()),2)</f>
        <v>7.8064629539450453E-2</v>
      </c>
      <c r="D24" s="119">
        <f>POWER(COS(MOD(CHOOSE(2,$H$10,$H$11,$H$12,$H$13,$H$14)/PI(),2)*PI()),2)</f>
        <v>0.999778882852986</v>
      </c>
      <c r="E24" s="119">
        <f>POWER(COS(MOD(CHOOSE(3,$H$10,$H$11,$H$12,$H$13,$H$14)/PI(),2)*PI()),2)</f>
        <v>0.93033566382922228</v>
      </c>
      <c r="F24" s="119">
        <f>POWER(COS(MOD(CHOOSE(4,$H$10,$H$11,$H$12,$H$13,$H$14)/PI(),2)*PI()),2)</f>
        <v>0.34901453142888167</v>
      </c>
      <c r="G24" s="119">
        <f>POWER(COS(MOD(CHOOSE(5,$H$10,$H$11,$H$12,$H$13,$H$14)/PI(),2)*PI()),2)</f>
        <v>0.87344023828403639</v>
      </c>
      <c r="I24" s="119" t="s">
        <v>160</v>
      </c>
      <c r="J24" s="119">
        <f t="shared" si="0"/>
        <v>73.775573109765261</v>
      </c>
      <c r="K24" s="119">
        <f t="shared" si="0"/>
        <v>-0.85202011858950755</v>
      </c>
      <c r="L24" s="119">
        <f t="shared" si="0"/>
        <v>15.303978358595032</v>
      </c>
      <c r="M24" s="119">
        <f t="shared" si="0"/>
        <v>-53.788010351886726</v>
      </c>
      <c r="N24" s="119">
        <f t="shared" si="0"/>
        <v>-20.839563555895779</v>
      </c>
    </row>
    <row r="25" spans="1:15" x14ac:dyDescent="0.2">
      <c r="A25" s="119"/>
      <c r="B25" s="119" t="s">
        <v>161</v>
      </c>
      <c r="C25" s="119">
        <f>POWER(COS(MOD(CHOOSE(1,$I$10,$I$11,$I$12,$I$13,$I$14)/PI(),2)*PI()),2)</f>
        <v>1.9234129890718689E-2</v>
      </c>
      <c r="D25" s="119">
        <f>POWER(COS(MOD(CHOOSE(2,$I$10,$I$11,$I$12,$I$13,$I$14)/PI(),2)*PI()),2)</f>
        <v>0.9906352163739216</v>
      </c>
      <c r="E25" s="119">
        <f>POWER(COS(MOD(CHOOSE(3,$I$10,$I$11,$I$12,$I$13,$I$14)/PI(),2)*PI()),2)</f>
        <v>0.88639085013150043</v>
      </c>
      <c r="F25" s="119">
        <f>POWER(COS(MOD(CHOOSE(4,$I$10,$I$11,$I$12,$I$13,$I$14)/PI(),2)*PI()),2)</f>
        <v>0.38112029149292498</v>
      </c>
      <c r="G25" s="119">
        <f>POWER(COS(MOD(CHOOSE(5,$I$10,$I$11,$I$12,$I$13,$I$14)/PI(),2)*PI()),2)</f>
        <v>0.85508703587323498</v>
      </c>
      <c r="I25" s="119" t="s">
        <v>161</v>
      </c>
      <c r="J25" s="119">
        <f t="shared" si="0"/>
        <v>82.028114699051173</v>
      </c>
      <c r="K25" s="119">
        <f t="shared" si="0"/>
        <v>5.5533071079453293</v>
      </c>
      <c r="L25" s="119">
        <f t="shared" si="0"/>
        <v>19.697827749117323</v>
      </c>
      <c r="M25" s="119">
        <f t="shared" si="0"/>
        <v>-51.877168491132295</v>
      </c>
      <c r="N25" s="119">
        <f t="shared" si="0"/>
        <v>-22.375459975598631</v>
      </c>
    </row>
    <row r="27" spans="1:15" ht="17" thickBot="1" x14ac:dyDescent="0.25">
      <c r="O27" s="123" t="s">
        <v>137</v>
      </c>
    </row>
    <row r="28" spans="1:15" x14ac:dyDescent="0.2">
      <c r="A28" s="10"/>
      <c r="B28" s="124" t="s">
        <v>166</v>
      </c>
      <c r="C28" s="124" t="s">
        <v>167</v>
      </c>
      <c r="D28" s="5" t="s">
        <v>168</v>
      </c>
    </row>
    <row r="29" spans="1:15" x14ac:dyDescent="0.2">
      <c r="A29" s="15">
        <v>102.5</v>
      </c>
      <c r="B29" s="125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25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25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26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2"/>
  <sheetViews>
    <sheetView tabSelected="1" zoomScale="125" zoomScaleNormal="125" workbookViewId="0">
      <selection activeCell="M2" sqref="M2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9.83203125" customWidth="1"/>
    <col min="29" max="29" width="18.6640625" customWidth="1"/>
  </cols>
  <sheetData>
    <row r="1" spans="1:26" s="1" customFormat="1" ht="17" thickBot="1" x14ac:dyDescent="0.25">
      <c r="A1" s="1" t="s">
        <v>21</v>
      </c>
      <c r="C1" s="2"/>
      <c r="O1" s="1" t="s">
        <v>62</v>
      </c>
      <c r="P1" s="1" t="s">
        <v>63</v>
      </c>
    </row>
    <row r="2" spans="1:26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/>
      <c r="G2" s="14"/>
      <c r="J2" s="153" t="s">
        <v>207</v>
      </c>
      <c r="K2" s="153"/>
      <c r="L2" s="153"/>
      <c r="O2" s="1" t="s">
        <v>54</v>
      </c>
      <c r="P2" s="1" t="s">
        <v>55</v>
      </c>
    </row>
    <row r="3" spans="1:26" s="1" customFormat="1" ht="15" customHeight="1" x14ac:dyDescent="0.2">
      <c r="B3" s="15" t="s">
        <v>43</v>
      </c>
      <c r="C3">
        <v>0.08</v>
      </c>
      <c r="D3" t="s">
        <v>44</v>
      </c>
      <c r="G3" s="16"/>
      <c r="J3" s="153"/>
      <c r="K3" s="153"/>
      <c r="L3" s="153"/>
      <c r="O3" s="1" t="s">
        <v>56</v>
      </c>
      <c r="P3" s="1" t="s">
        <v>57</v>
      </c>
    </row>
    <row r="4" spans="1:26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53"/>
      <c r="K4" s="153"/>
      <c r="L4" s="153"/>
      <c r="O4" t="s">
        <v>58</v>
      </c>
      <c r="P4" t="s">
        <v>59</v>
      </c>
    </row>
    <row r="5" spans="1:26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53"/>
      <c r="K5" s="153"/>
      <c r="L5" s="153"/>
    </row>
    <row r="6" spans="1:26" x14ac:dyDescent="0.2">
      <c r="B6" s="15" t="s">
        <v>45</v>
      </c>
      <c r="C6" s="4">
        <f>(7/2)*0.07*0.0275</f>
        <v>6.7375000000000004E-3</v>
      </c>
      <c r="D6" s="3" t="s">
        <v>42</v>
      </c>
      <c r="E6" s="17" t="s">
        <v>120</v>
      </c>
      <c r="F6">
        <v>30</v>
      </c>
      <c r="G6" s="6" t="s">
        <v>79</v>
      </c>
      <c r="J6" s="153"/>
      <c r="K6" s="153"/>
      <c r="L6" s="153"/>
      <c r="O6" s="1" t="s">
        <v>60</v>
      </c>
      <c r="P6" s="1" t="s">
        <v>64</v>
      </c>
    </row>
    <row r="7" spans="1:26" x14ac:dyDescent="0.2">
      <c r="B7" s="15" t="s">
        <v>46</v>
      </c>
      <c r="C7">
        <v>0.12</v>
      </c>
      <c r="D7" t="s">
        <v>44</v>
      </c>
      <c r="E7" s="17"/>
      <c r="G7" s="6"/>
      <c r="O7" s="1" t="s">
        <v>61</v>
      </c>
      <c r="P7" s="1" t="s">
        <v>57</v>
      </c>
    </row>
    <row r="8" spans="1:26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106</v>
      </c>
      <c r="F8" t="s">
        <v>28</v>
      </c>
      <c r="G8" s="6" t="s">
        <v>29</v>
      </c>
      <c r="H8">
        <f>14*0.02</f>
        <v>0.28000000000000003</v>
      </c>
      <c r="I8" t="s">
        <v>107</v>
      </c>
      <c r="R8" s="1" t="s">
        <v>187</v>
      </c>
      <c r="S8" s="1">
        <v>11.7</v>
      </c>
      <c r="T8" s="1" t="s">
        <v>39</v>
      </c>
      <c r="Y8" s="1"/>
      <c r="Z8" s="1"/>
    </row>
    <row r="9" spans="1:26" x14ac:dyDescent="0.2">
      <c r="B9" s="15" t="s">
        <v>47</v>
      </c>
      <c r="C9">
        <v>0.1</v>
      </c>
      <c r="D9" s="3" t="s">
        <v>48</v>
      </c>
      <c r="E9" s="17"/>
      <c r="F9" t="s">
        <v>116</v>
      </c>
      <c r="G9" s="6" t="s">
        <v>117</v>
      </c>
      <c r="J9" t="s">
        <v>74</v>
      </c>
      <c r="K9">
        <v>1900</v>
      </c>
      <c r="L9" t="s">
        <v>65</v>
      </c>
      <c r="M9">
        <v>2.5255000000000001</v>
      </c>
      <c r="N9" s="1" t="s">
        <v>80</v>
      </c>
    </row>
    <row r="10" spans="1:26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/>
      <c r="G10" s="9"/>
      <c r="I10" s="1"/>
      <c r="O10" t="s">
        <v>87</v>
      </c>
      <c r="P10" t="s">
        <v>88</v>
      </c>
    </row>
    <row r="11" spans="1:26" x14ac:dyDescent="0.2">
      <c r="B11" s="15" t="s">
        <v>67</v>
      </c>
      <c r="C11" s="4">
        <f>E11*D11</f>
        <v>0.123</v>
      </c>
      <c r="D11" s="37">
        <v>1</v>
      </c>
      <c r="E11">
        <v>0.123</v>
      </c>
      <c r="F11" t="s">
        <v>68</v>
      </c>
      <c r="I11" t="s">
        <v>89</v>
      </c>
      <c r="J11">
        <v>0.11799999999999999</v>
      </c>
    </row>
    <row r="12" spans="1:26" ht="17" thickBot="1" x14ac:dyDescent="0.25">
      <c r="B12" s="15" t="s">
        <v>69</v>
      </c>
      <c r="C12" s="4">
        <f>E12*D11</f>
        <v>2.1800000000000002</v>
      </c>
      <c r="D12" s="3" t="s">
        <v>53</v>
      </c>
      <c r="E12" s="37">
        <f>2*1.09</f>
        <v>2.1800000000000002</v>
      </c>
      <c r="F12" t="s">
        <v>53</v>
      </c>
      <c r="I12" t="s">
        <v>90</v>
      </c>
      <c r="J12">
        <f>2*1.047</f>
        <v>2.0939999999999999</v>
      </c>
    </row>
    <row r="13" spans="1:26" ht="17" thickBot="1" x14ac:dyDescent="0.25">
      <c r="A13" s="10"/>
      <c r="B13" s="5"/>
      <c r="C13" s="150" t="s">
        <v>92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2"/>
      <c r="N13" s="55"/>
    </row>
    <row r="14" spans="1:26" ht="17" thickBot="1" x14ac:dyDescent="0.25">
      <c r="A14" s="15"/>
      <c r="B14" s="6"/>
      <c r="C14" s="52" t="s">
        <v>91</v>
      </c>
      <c r="D14" s="151" t="s">
        <v>93</v>
      </c>
      <c r="E14" s="151"/>
      <c r="F14" s="53"/>
      <c r="G14" s="53"/>
      <c r="H14" s="53"/>
      <c r="I14" s="150" t="s">
        <v>100</v>
      </c>
      <c r="J14" s="151"/>
      <c r="K14" s="152"/>
      <c r="L14" s="150" t="s">
        <v>112</v>
      </c>
      <c r="M14" s="151"/>
      <c r="N14" s="151"/>
      <c r="O14" s="152"/>
      <c r="P14" s="58"/>
      <c r="Q14" s="56"/>
      <c r="R14" s="149" t="s">
        <v>118</v>
      </c>
      <c r="S14" s="149"/>
      <c r="T14" s="149"/>
    </row>
    <row r="15" spans="1:26" ht="17" thickBot="1" x14ac:dyDescent="0.25">
      <c r="A15" s="15" t="s">
        <v>75</v>
      </c>
      <c r="B15" s="6"/>
      <c r="C15" s="42" t="s">
        <v>95</v>
      </c>
      <c r="D15" s="43" t="s">
        <v>96</v>
      </c>
      <c r="E15" s="43" t="s">
        <v>97</v>
      </c>
      <c r="F15" s="43" t="s">
        <v>98</v>
      </c>
      <c r="G15" s="43"/>
      <c r="H15" s="43" t="s">
        <v>99</v>
      </c>
      <c r="I15" s="43" t="s">
        <v>206</v>
      </c>
      <c r="J15" s="43" t="s">
        <v>101</v>
      </c>
      <c r="K15" s="43" t="s">
        <v>102</v>
      </c>
      <c r="L15" s="43" t="s">
        <v>103</v>
      </c>
      <c r="M15" s="129" t="s">
        <v>113</v>
      </c>
      <c r="N15" s="130" t="s">
        <v>114</v>
      </c>
      <c r="O15" s="130" t="s">
        <v>115</v>
      </c>
      <c r="P15" s="131"/>
      <c r="Q15" s="56"/>
      <c r="R15" s="43" t="s">
        <v>179</v>
      </c>
      <c r="S15" s="43" t="s">
        <v>180</v>
      </c>
      <c r="T15" s="43" t="s">
        <v>181</v>
      </c>
      <c r="U15" s="43" t="s">
        <v>182</v>
      </c>
    </row>
    <row r="16" spans="1:26" ht="17" thickBot="1" x14ac:dyDescent="0.25">
      <c r="A16" s="15" t="s">
        <v>66</v>
      </c>
      <c r="B16" s="6"/>
      <c r="C16" s="34">
        <v>3</v>
      </c>
      <c r="D16" s="35">
        <v>4</v>
      </c>
      <c r="E16" s="35">
        <v>5</v>
      </c>
      <c r="F16" s="35">
        <v>4</v>
      </c>
      <c r="G16" s="35">
        <v>5</v>
      </c>
      <c r="H16" s="35">
        <v>5</v>
      </c>
      <c r="I16" s="35">
        <v>3</v>
      </c>
      <c r="J16" s="35">
        <v>4</v>
      </c>
      <c r="K16" s="35">
        <v>5</v>
      </c>
      <c r="L16" s="36">
        <v>5</v>
      </c>
      <c r="M16" s="132">
        <v>3</v>
      </c>
      <c r="N16" s="133">
        <v>4</v>
      </c>
      <c r="O16" s="133">
        <v>5</v>
      </c>
      <c r="P16" s="134">
        <v>5</v>
      </c>
      <c r="Q16" s="135" t="s">
        <v>66</v>
      </c>
      <c r="R16" s="136">
        <v>3</v>
      </c>
      <c r="S16" s="128">
        <v>4</v>
      </c>
      <c r="T16" s="128">
        <v>5</v>
      </c>
      <c r="U16" s="128">
        <v>5</v>
      </c>
    </row>
    <row r="17" spans="1:27" x14ac:dyDescent="0.2">
      <c r="A17" s="15" t="s">
        <v>6</v>
      </c>
      <c r="B17" s="6" t="s">
        <v>23</v>
      </c>
      <c r="C17" s="50">
        <f>CHOOSE(C16,Accel2023!C10,Accel2023!C11,Accel2023!C12,Accel2023!C13,Accel2023!C14)/1000</f>
        <v>6.39696971456525</v>
      </c>
      <c r="D17" s="38">
        <f>CHOOSE(D16,Accel2023!$C10,Accel2023!$C11,Accel2023!$C12,Accel2023!$C13,Accel2023!$C14)/1000</f>
        <v>8.4829058909642168</v>
      </c>
      <c r="E17" s="38">
        <f>CHOOSE(E16,Accel2023!$C10,Accel2023!$C11,Accel2023!$C12,Accel2023!$C13,Accel2023!$C14)/1000</f>
        <v>10.557517625633993</v>
      </c>
      <c r="F17" s="38">
        <f>CHOOSE(F16,Accel2023!$C10,Accel2023!$C11,Accel2023!$C12,Accel2023!$C13,Accel2023!$C14)/1000</f>
        <v>8.4829058909642168</v>
      </c>
      <c r="G17" s="38">
        <f>CHOOSE(G16,Accel2023!$C10,Accel2023!$C11,Accel2023!$C12,Accel2023!$C13,Accel2023!$C14)/1000</f>
        <v>10.557517625633993</v>
      </c>
      <c r="H17" s="38">
        <f>CHOOSE(H16,Accel2023!$C10,Accel2023!$C11,Accel2023!$C12,Accel2023!$C13,Accel2023!$C14)/1000</f>
        <v>10.557517625633993</v>
      </c>
      <c r="I17" s="69">
        <f>CHOOSE(I16,Accel2023!$C10,Accel2023!$C11,Accel2023!$C12,Accel2023!$C13,Accel2023!$C14)/1000</f>
        <v>6.39696971456525</v>
      </c>
      <c r="J17" s="69">
        <f>CHOOSE(J16,Accel2023!$C10,Accel2023!$C11,Accel2023!$C12,Accel2023!$C13,Accel2023!$C14)/1000</f>
        <v>8.4829058909642168</v>
      </c>
      <c r="K17" s="69">
        <f>CHOOSE(K16,Accel2023!$C10,Accel2023!$C11,Accel2023!$C12,Accel2023!$C13,Accel2023!$C14)/1000</f>
        <v>10.557517625633993</v>
      </c>
      <c r="L17" s="69">
        <f>CHOOSE(L16,Accel2023!$C10,Accel2023!$C11,Accel2023!$C12,Accel2023!$C13,Accel2023!$C14)/1000</f>
        <v>10.557517625633993</v>
      </c>
      <c r="M17" s="83">
        <f>CHOOSE(M16,Accel2023!$C10,Accel2023!$C11,Accel2023!$C12,Accel2023!$C13,Accel2023!$C14)/1000</f>
        <v>6.39696971456525</v>
      </c>
      <c r="N17" s="83">
        <f>CHOOSE(N16,Accel2023!$C10,Accel2023!$C11,Accel2023!$C12,Accel2023!$C13,Accel2023!$C14)/1000</f>
        <v>8.4829058909642168</v>
      </c>
      <c r="O17" s="83">
        <f>CHOOSE(O16,Accel2023!$C10,Accel2023!$C11,Accel2023!$C12,Accel2023!$C13,Accel2023!$C14)/1000</f>
        <v>10.557517625633993</v>
      </c>
      <c r="P17" s="83">
        <f>CHOOSE(P16,Accel2023!$C10,Accel2023!$C11,Accel2023!$C12,Accel2023!$C13,Accel2023!$C14)/1000</f>
        <v>10.557517625633993</v>
      </c>
      <c r="Q17" s="33" t="s">
        <v>6</v>
      </c>
      <c r="R17" s="103">
        <f>CHOOSE(R16,Accel2023!$C10,Accel2023!$C11,Accel2023!$C12,Accel2023!$C13,Accel2023!$C14)/1000</f>
        <v>6.39696971456525</v>
      </c>
      <c r="S17" s="103">
        <f>CHOOSE(S16,Accel2023!$C10,Accel2023!$C11,Accel2023!$C12,Accel2023!$C13,Accel2023!$C14)/1000</f>
        <v>8.4829058909642168</v>
      </c>
      <c r="T17" s="103">
        <f>CHOOSE(T16,Accel2023!$C10,Accel2023!$C11,Accel2023!$C12,Accel2023!$C13,Accel2023!$C14)/1000</f>
        <v>10.557517625633993</v>
      </c>
      <c r="U17" s="103">
        <f>CHOOSE(U16,Accel2023!$C10,Accel2023!$C11,Accel2023!$C12,Accel2023!$C13,Accel2023!$C14)/1000</f>
        <v>10.557517625633993</v>
      </c>
      <c r="V17" t="s">
        <v>183</v>
      </c>
    </row>
    <row r="18" spans="1:27" x14ac:dyDescent="0.2">
      <c r="A18" s="15" t="s">
        <v>0</v>
      </c>
      <c r="B18" s="6" t="s">
        <v>24</v>
      </c>
      <c r="C18" s="51">
        <v>3</v>
      </c>
      <c r="D18" s="39">
        <v>3</v>
      </c>
      <c r="E18" s="39">
        <v>3</v>
      </c>
      <c r="F18" s="39">
        <v>4</v>
      </c>
      <c r="G18" s="39">
        <v>4</v>
      </c>
      <c r="H18" s="39">
        <v>5.5</v>
      </c>
      <c r="I18" s="70">
        <v>3.4</v>
      </c>
      <c r="J18" s="70">
        <v>3.4</v>
      </c>
      <c r="K18" s="70">
        <v>3.4</v>
      </c>
      <c r="L18" s="70">
        <v>4.8</v>
      </c>
      <c r="M18" s="84">
        <v>5.0999999999999996</v>
      </c>
      <c r="N18" s="84">
        <v>5.0999999999999996</v>
      </c>
      <c r="O18" s="84">
        <v>5.0999999999999996</v>
      </c>
      <c r="P18" s="85">
        <v>6</v>
      </c>
      <c r="Q18" s="33" t="s">
        <v>0</v>
      </c>
      <c r="R18" s="104">
        <v>2.1</v>
      </c>
      <c r="S18" s="104">
        <v>2.4</v>
      </c>
      <c r="T18" s="104">
        <v>2.4</v>
      </c>
      <c r="U18" s="104">
        <v>3</v>
      </c>
    </row>
    <row r="19" spans="1:27" x14ac:dyDescent="0.2">
      <c r="A19" s="15" t="s">
        <v>1</v>
      </c>
      <c r="B19" s="6"/>
      <c r="C19" s="51">
        <v>0.36</v>
      </c>
      <c r="D19" s="39">
        <v>0.36</v>
      </c>
      <c r="E19" s="39">
        <v>0.36</v>
      </c>
      <c r="F19" s="39">
        <v>0.36</v>
      </c>
      <c r="G19" s="39">
        <v>0.36</v>
      </c>
      <c r="H19" s="39">
        <v>0.36</v>
      </c>
      <c r="I19" s="70">
        <v>0.5</v>
      </c>
      <c r="J19" s="70">
        <v>0.5</v>
      </c>
      <c r="K19" s="70">
        <v>0.5</v>
      </c>
      <c r="L19" s="70">
        <f>K19</f>
        <v>0.5</v>
      </c>
      <c r="M19" s="84">
        <v>0.6</v>
      </c>
      <c r="N19" s="84">
        <v>0.6</v>
      </c>
      <c r="O19" s="84">
        <v>0.6</v>
      </c>
      <c r="P19" s="85">
        <v>0.6</v>
      </c>
      <c r="Q19" s="33" t="s">
        <v>1</v>
      </c>
      <c r="R19" s="105">
        <v>0.24</v>
      </c>
      <c r="S19" s="105">
        <v>0.24</v>
      </c>
      <c r="T19" s="105">
        <v>0.24</v>
      </c>
      <c r="U19" s="105">
        <v>0.25</v>
      </c>
    </row>
    <row r="20" spans="1:27" x14ac:dyDescent="0.2">
      <c r="A20" s="15" t="s">
        <v>3</v>
      </c>
      <c r="B20" s="6" t="s">
        <v>23</v>
      </c>
      <c r="C20" s="59">
        <f t="shared" ref="C20:M20" si="0">C18/(2*MProton*C19)</f>
        <v>4.4406550854382045</v>
      </c>
      <c r="D20" s="59">
        <f t="shared" si="0"/>
        <v>4.4406550854382045</v>
      </c>
      <c r="E20" s="59">
        <f t="shared" si="0"/>
        <v>4.4406550854382045</v>
      </c>
      <c r="F20" s="59">
        <f t="shared" si="0"/>
        <v>5.9208734472509388</v>
      </c>
      <c r="G20" s="59">
        <f t="shared" si="0"/>
        <v>5.9208734472509388</v>
      </c>
      <c r="H20" s="59">
        <f t="shared" si="0"/>
        <v>8.1412009899700415</v>
      </c>
      <c r="I20" s="71">
        <f t="shared" si="0"/>
        <v>3.6235745497175742</v>
      </c>
      <c r="J20" s="71">
        <f t="shared" ref="J20" si="1">J18/(2*MProton*J19)</f>
        <v>3.6235745497175742</v>
      </c>
      <c r="K20" s="71">
        <f t="shared" si="0"/>
        <v>3.6235745497175742</v>
      </c>
      <c r="L20" s="71">
        <f t="shared" si="0"/>
        <v>5.1156346584248107</v>
      </c>
      <c r="M20" s="86">
        <f t="shared" si="0"/>
        <v>4.5294681871469678</v>
      </c>
      <c r="N20" s="86">
        <f t="shared" ref="N20" si="2">N18/(2*MProton*N19)</f>
        <v>4.5294681871469678</v>
      </c>
      <c r="O20" s="86">
        <f t="shared" ref="O20" si="3">O18/(2*MProton*O19)</f>
        <v>4.5294681871469678</v>
      </c>
      <c r="P20" s="86">
        <f t="shared" ref="P20" si="4">P18/(2*MProton*P19)</f>
        <v>5.3287861025258438</v>
      </c>
      <c r="Q20" s="33" t="s">
        <v>3</v>
      </c>
      <c r="R20" s="105">
        <f>R18/(2*MProton*R19)</f>
        <v>4.6626878397101139</v>
      </c>
      <c r="S20" s="105">
        <f>S18/(2*MProton*S19)</f>
        <v>5.3287861025258447</v>
      </c>
      <c r="T20" s="105">
        <f>T18/(2*MProton*T19)</f>
        <v>5.3287861025258447</v>
      </c>
      <c r="U20" s="105">
        <f>U18/(2*MProton*U19)</f>
        <v>6.3945433230310131</v>
      </c>
      <c r="V20" s="54"/>
    </row>
    <row r="21" spans="1:27" x14ac:dyDescent="0.2">
      <c r="A21" s="32" t="s">
        <v>4</v>
      </c>
      <c r="B21" s="16" t="s">
        <v>23</v>
      </c>
      <c r="C21" s="40">
        <f>C17-C20</f>
        <v>1.9563146291270455</v>
      </c>
      <c r="D21" s="41">
        <f>D17-D20</f>
        <v>4.0422508055260122</v>
      </c>
      <c r="E21" s="41">
        <f>E17-E20</f>
        <v>6.1168625401957888</v>
      </c>
      <c r="F21" s="41">
        <f t="shared" ref="F21:H21" si="5">F17-F20</f>
        <v>2.562032443713278</v>
      </c>
      <c r="G21" s="41">
        <f t="shared" ref="G21" si="6">G17-G20</f>
        <v>4.6366441783830545</v>
      </c>
      <c r="H21" s="41">
        <f t="shared" si="5"/>
        <v>2.4163166356639518</v>
      </c>
      <c r="I21" s="72">
        <f t="shared" ref="I21:M21" si="7">I17-I20</f>
        <v>2.7733951648476758</v>
      </c>
      <c r="J21" s="72">
        <f t="shared" ref="J21" si="8">J17-J20</f>
        <v>4.8593313412466426</v>
      </c>
      <c r="K21" s="72">
        <f t="shared" si="7"/>
        <v>6.9339430759164191</v>
      </c>
      <c r="L21" s="72">
        <f t="shared" si="7"/>
        <v>5.4418829672091826</v>
      </c>
      <c r="M21" s="87">
        <f t="shared" si="7"/>
        <v>1.8675015274182822</v>
      </c>
      <c r="N21" s="87">
        <f t="shared" ref="N21" si="9">N17-N20</f>
        <v>3.953437703817249</v>
      </c>
      <c r="O21" s="87">
        <f t="shared" ref="O21" si="10">O17-O20</f>
        <v>6.0280494384870256</v>
      </c>
      <c r="P21" s="87">
        <f t="shared" ref="P21" si="11">P17-P20</f>
        <v>5.2287315231081495</v>
      </c>
      <c r="Q21" s="33" t="s">
        <v>4</v>
      </c>
      <c r="R21" s="106">
        <f>R17-R20</f>
        <v>1.7342818748551361</v>
      </c>
      <c r="S21" s="106">
        <f t="shared" ref="S21:U21" si="12">S17-S20</f>
        <v>3.154119788438372</v>
      </c>
      <c r="T21" s="106">
        <f t="shared" si="12"/>
        <v>5.2287315231081486</v>
      </c>
      <c r="U21" s="106">
        <f t="shared" si="12"/>
        <v>4.1629743026029802</v>
      </c>
      <c r="V21" s="1" t="s">
        <v>176</v>
      </c>
    </row>
    <row r="22" spans="1:27" s="1" customFormat="1" x14ac:dyDescent="0.2">
      <c r="A22" s="15" t="s">
        <v>5</v>
      </c>
      <c r="B22" s="6"/>
      <c r="C22" s="59">
        <f>1-C18/(2*C17*C21)</f>
        <v>0.88013889921175514</v>
      </c>
      <c r="D22" s="39">
        <f>1-D18/(2*D17*D21)</f>
        <v>0.95625551038338708</v>
      </c>
      <c r="E22" s="39">
        <f>1-E18/(2*E17*E21)</f>
        <v>0.97677259337429267</v>
      </c>
      <c r="F22" s="39">
        <f t="shared" ref="F22:H22" si="13">1-F18/(2*F17*F21)</f>
        <v>0.90797608160715026</v>
      </c>
      <c r="G22" s="39">
        <f t="shared" ref="G22" si="14">1-G18/(2*G17*G21)</f>
        <v>0.95914319407785376</v>
      </c>
      <c r="H22" s="39">
        <f t="shared" si="13"/>
        <v>0.89220042844177405</v>
      </c>
      <c r="I22" s="70">
        <f t="shared" ref="I22:M22" si="15">1-I18/(2*I17*I21)</f>
        <v>0.90417852038239233</v>
      </c>
      <c r="J22" s="70">
        <f t="shared" ref="J22" si="16">1-J18/(2*J17*J21)</f>
        <v>0.95875913561583237</v>
      </c>
      <c r="K22" s="70">
        <f t="shared" si="15"/>
        <v>0.97677761428607812</v>
      </c>
      <c r="L22" s="70">
        <f t="shared" si="15"/>
        <v>0.95822656110738136</v>
      </c>
      <c r="M22" s="84">
        <f t="shared" si="15"/>
        <v>0.78654569405299835</v>
      </c>
      <c r="N22" s="84">
        <f t="shared" ref="N22" si="17">1-N18/(2*N17*N21)</f>
        <v>0.92396376020472426</v>
      </c>
      <c r="O22" s="84">
        <f t="shared" ref="O22" si="18">1-O18/(2*O17*O21)</f>
        <v>0.95993164067320824</v>
      </c>
      <c r="P22" s="84">
        <f t="shared" ref="P22" si="19">1-P18/(2*P17*P21)</f>
        <v>0.94565456158275751</v>
      </c>
      <c r="Q22" s="33" t="s">
        <v>5</v>
      </c>
      <c r="R22" s="105">
        <f>1-R18/(2*R17*R21)</f>
        <v>0.90535551352145061</v>
      </c>
      <c r="S22" s="105">
        <f t="shared" ref="S22:U22" si="20">1-S18/(2*S17*S21)</f>
        <v>0.95515041653440158</v>
      </c>
      <c r="T22" s="105">
        <f t="shared" si="20"/>
        <v>0.97826182463310296</v>
      </c>
      <c r="U22" s="105">
        <f t="shared" si="20"/>
        <v>0.96587083100516691</v>
      </c>
      <c r="V22"/>
      <c r="W22"/>
      <c r="X22"/>
      <c r="Y22"/>
      <c r="Z22"/>
      <c r="AA22"/>
    </row>
    <row r="23" spans="1:27" x14ac:dyDescent="0.2">
      <c r="A23" s="15" t="s">
        <v>7</v>
      </c>
      <c r="B23" s="6"/>
      <c r="C23" s="59">
        <f>1/(1+2*((C20^2+C18)/C18)*(1-C22)/(1+C22))</f>
        <v>0.5087522323323147</v>
      </c>
      <c r="D23" s="39">
        <f>1/(1+2*((D20^2+D18)/D18)*(1-D22)/(1+D22))</f>
        <v>0.7469983501730777</v>
      </c>
      <c r="E23" s="39">
        <f>1/(1+2*((E20^2+E18)/E18)*(1-E22)/(1+E22))</f>
        <v>0.84891712479967418</v>
      </c>
      <c r="F23" s="39">
        <f t="shared" ref="F23:H23" si="21">1/(1+2*((F20^2+F18)/F18)*(1-F22)/(1+F22))</f>
        <v>0.51496589055844277</v>
      </c>
      <c r="G23" s="39">
        <f t="shared" ref="G23" si="22">1/(1+2*((G20^2+G18)/G18)*(1-G22)/(1+G22))</f>
        <v>0.71060429500435207</v>
      </c>
      <c r="H23" s="39">
        <f t="shared" si="21"/>
        <v>0.4020883434596611</v>
      </c>
      <c r="I23" s="70">
        <f t="shared" ref="I23:M23" si="23">1/(1+2*((I20^2+I18)/I18)*(1-I22)/(1+I22))</f>
        <v>0.671450490237121</v>
      </c>
      <c r="J23" s="70">
        <f t="shared" ref="J23" si="24">1/(1+2*((J20^2+J18)/J18)*(1-J22)/(1+J22))</f>
        <v>0.83006252896673571</v>
      </c>
      <c r="K23" s="70">
        <f t="shared" si="23"/>
        <v>0.89748067389660235</v>
      </c>
      <c r="L23" s="70">
        <f t="shared" si="23"/>
        <v>0.78414594897716849</v>
      </c>
      <c r="M23" s="84">
        <f t="shared" si="23"/>
        <v>0.45449860158497724</v>
      </c>
      <c r="N23" s="84">
        <f t="shared" ref="N23" si="25">1/(1+2*((N20^2+N18)/N18)*(1-N22)/(1+N22))</f>
        <v>0.71581691415764226</v>
      </c>
      <c r="O23" s="84">
        <f t="shared" ref="O23" si="26">1/(1+2*((O20^2+O18)/O18)*(1-O22)/(1+O22))</f>
        <v>0.82962203081471386</v>
      </c>
      <c r="P23" s="84">
        <f t="shared" ref="P23" si="27">1/(1+2*((P20^2+P18)/P18)*(1-P22)/(1+P22))</f>
        <v>0.75743466556748962</v>
      </c>
      <c r="Q23" s="33" t="s">
        <v>7</v>
      </c>
      <c r="R23" s="105">
        <f>1/(1+2*((R20^2+R18)/R18)*(1-R22)/(1+R22))</f>
        <v>0.46995972203442726</v>
      </c>
      <c r="S23" s="105">
        <f t="shared" ref="S23:U23" si="28">1/(1+2*((S20^2+S18)/S18)*(1-S22)/(1+S22))</f>
        <v>0.62944721858602104</v>
      </c>
      <c r="T23" s="105">
        <f t="shared" si="28"/>
        <v>0.78003012311046127</v>
      </c>
      <c r="U23" s="105">
        <f t="shared" si="28"/>
        <v>0.6631386311552292</v>
      </c>
    </row>
    <row r="24" spans="1:27" x14ac:dyDescent="0.2">
      <c r="A24" s="15" t="s">
        <v>196</v>
      </c>
      <c r="B24" s="6" t="s">
        <v>25</v>
      </c>
      <c r="C24" s="59">
        <f t="shared" ref="C24:L24" si="29">ACOS(C22)*180/3.14159</f>
        <v>28.340900647724478</v>
      </c>
      <c r="D24" s="39">
        <f t="shared" si="29"/>
        <v>17.009662315704151</v>
      </c>
      <c r="E24" s="39">
        <f t="shared" si="29"/>
        <v>12.373215848507318</v>
      </c>
      <c r="F24" s="39">
        <f t="shared" ref="F24:H24" si="30">ACOS(F22)*180/3.14159</f>
        <v>24.77287848112319</v>
      </c>
      <c r="G24" s="39">
        <f t="shared" ref="G24" si="31">ACOS(G22)*180/3.14159</f>
        <v>16.434634960983246</v>
      </c>
      <c r="H24" s="39">
        <f t="shared" si="30"/>
        <v>26.848955195857581</v>
      </c>
      <c r="I24" s="70">
        <f t="shared" si="29"/>
        <v>25.287151526623258</v>
      </c>
      <c r="J24" s="70">
        <f t="shared" ref="J24" si="32">ACOS(J22)*180/3.14159</f>
        <v>16.512234525865733</v>
      </c>
      <c r="K24" s="70">
        <f t="shared" si="29"/>
        <v>12.371873237915272</v>
      </c>
      <c r="L24" s="70">
        <f t="shared" si="29"/>
        <v>16.619259003652708</v>
      </c>
      <c r="M24" s="84">
        <f t="shared" ref="M24:P24" si="33">ACOS(M22)*180/3.14159</f>
        <v>38.136169299947689</v>
      </c>
      <c r="N24" s="84">
        <f t="shared" si="33"/>
        <v>22.487404980172041</v>
      </c>
      <c r="O24" s="84">
        <f t="shared" si="33"/>
        <v>16.27420082269121</v>
      </c>
      <c r="P24" s="84">
        <f t="shared" si="33"/>
        <v>18.976069722544644</v>
      </c>
      <c r="Q24" s="33" t="s">
        <v>8</v>
      </c>
      <c r="R24" s="105">
        <f t="shared" ref="R24:U24" si="34">ACOS(R22)*180/3.14159</f>
        <v>25.128813833074584</v>
      </c>
      <c r="S24" s="105">
        <f t="shared" si="34"/>
        <v>17.224787720889836</v>
      </c>
      <c r="T24" s="105">
        <f t="shared" si="34"/>
        <v>11.968491788745734</v>
      </c>
      <c r="U24" s="105">
        <f t="shared" si="34"/>
        <v>15.012182377002773</v>
      </c>
      <c r="V24" s="1" t="s">
        <v>184</v>
      </c>
    </row>
    <row r="25" spans="1:27" x14ac:dyDescent="0.2">
      <c r="A25" s="15" t="s">
        <v>9</v>
      </c>
      <c r="B25" s="6"/>
      <c r="C25" s="59">
        <f>C21*SIN(ACOS(C22))/SQRT(C20^2+C18)</f>
        <v>0.19483824270287445</v>
      </c>
      <c r="D25" s="39">
        <f>D21*SIN(ACOS(D22))/SQRT(D20^2+D18)</f>
        <v>0.24808421111972248</v>
      </c>
      <c r="E25" s="39">
        <f>E21*SIN(ACOS(E22))/SQRT(E20^2+E18)</f>
        <v>0.27498489658136238</v>
      </c>
      <c r="F25" s="39">
        <f t="shared" ref="F25:H25" si="35">F21*SIN(ACOS(F22))/SQRT(F20^2+F18)</f>
        <v>0.17178033302443471</v>
      </c>
      <c r="G25" s="39">
        <f t="shared" ref="G25" si="36">G21*SIN(ACOS(G22))/SQRT(G20^2+G18)</f>
        <v>0.20990416498041362</v>
      </c>
      <c r="H25" s="39">
        <f t="shared" si="35"/>
        <v>0.12880916447824187</v>
      </c>
      <c r="I25" s="70">
        <f t="shared" ref="I25:L25" si="37">I21*SIN(ACOS(I22))/SQRT(I20^2+I18)</f>
        <v>0.29137799592767055</v>
      </c>
      <c r="J25" s="70">
        <f t="shared" ref="J25" si="38">J21*SIN(ACOS(J22))/SQRT(J20^2+J18)</f>
        <v>0.33969616259437685</v>
      </c>
      <c r="K25" s="70">
        <f t="shared" si="37"/>
        <v>0.3654031836020461</v>
      </c>
      <c r="L25" s="70">
        <f t="shared" si="37"/>
        <v>0.27968047945536434</v>
      </c>
      <c r="M25" s="84">
        <f t="shared" ref="M25:P25" si="39">M21*SIN(ACOS(M22))/SQRT(M20^2+M18)</f>
        <v>0.22785792446607692</v>
      </c>
      <c r="N25" s="84">
        <f t="shared" si="39"/>
        <v>0.29876334033089219</v>
      </c>
      <c r="O25" s="84">
        <f t="shared" si="39"/>
        <v>0.33376569302207543</v>
      </c>
      <c r="P25" s="84">
        <f t="shared" si="39"/>
        <v>0.28990588637873715</v>
      </c>
      <c r="Q25" s="33" t="s">
        <v>9</v>
      </c>
      <c r="R25" s="105">
        <f>R21*SIN(ACOS(R22))/SQRT(R20^2+R18)</f>
        <v>0.15083295431421684</v>
      </c>
      <c r="S25" s="105">
        <f t="shared" ref="S25:U25" si="40">S21*SIN(ACOS(S22))/SQRT(S20^2+S18)</f>
        <v>0.16830638604334255</v>
      </c>
      <c r="T25" s="105">
        <f t="shared" si="40"/>
        <v>0.19539025031816631</v>
      </c>
      <c r="U25" s="105">
        <f t="shared" si="40"/>
        <v>0.16276475697195283</v>
      </c>
    </row>
    <row r="26" spans="1:27" x14ac:dyDescent="0.2">
      <c r="A26" s="32" t="s">
        <v>11</v>
      </c>
      <c r="B26" s="16" t="s">
        <v>25</v>
      </c>
      <c r="C26" s="40">
        <f t="shared" ref="C26:L26" si="41">ASIN(C25)*180/3.14159</f>
        <v>11.235283828852049</v>
      </c>
      <c r="D26" s="41">
        <f t="shared" si="41"/>
        <v>14.36418671348361</v>
      </c>
      <c r="E26" s="41">
        <f t="shared" si="41"/>
        <v>15.96112758181641</v>
      </c>
      <c r="F26" s="41">
        <f t="shared" ref="F26:H26" si="42">ASIN(F25)*180/3.14159</f>
        <v>9.8913558902957472</v>
      </c>
      <c r="G26" s="41">
        <f t="shared" ref="G26" si="43">ASIN(G25)*180/3.14159</f>
        <v>12.116746363405195</v>
      </c>
      <c r="H26" s="41">
        <f t="shared" si="42"/>
        <v>7.4007901644024408</v>
      </c>
      <c r="I26" s="72">
        <f t="shared" si="41"/>
        <v>16.940486957592221</v>
      </c>
      <c r="J26" s="72">
        <f t="shared" ref="J26" si="44">ASIN(J25)*180/3.14159</f>
        <v>19.858380514225868</v>
      </c>
      <c r="K26" s="72">
        <f t="shared" si="41"/>
        <v>21.432415516257116</v>
      </c>
      <c r="L26" s="72">
        <f t="shared" si="41"/>
        <v>16.241149374019152</v>
      </c>
      <c r="M26" s="87">
        <f t="shared" ref="M26:P26" si="45">ASIN(M25)*180/3.14159</f>
        <v>13.171002660305174</v>
      </c>
      <c r="N26" s="87">
        <f t="shared" si="45"/>
        <v>17.383356300602209</v>
      </c>
      <c r="O26" s="87">
        <f t="shared" si="45"/>
        <v>19.497514317206985</v>
      </c>
      <c r="P26" s="87">
        <f t="shared" si="45"/>
        <v>16.852335896730864</v>
      </c>
      <c r="Q26" s="33" t="s">
        <v>11</v>
      </c>
      <c r="R26" s="106">
        <f t="shared" ref="R26:U26" si="46">ASIN(R25)*180/3.14159</f>
        <v>8.6752078812903459</v>
      </c>
      <c r="S26" s="106">
        <f t="shared" si="46"/>
        <v>9.6893715267828355</v>
      </c>
      <c r="T26" s="106">
        <f t="shared" si="46"/>
        <v>11.267531343064212</v>
      </c>
      <c r="U26" s="106">
        <f t="shared" si="46"/>
        <v>9.3674171070101178</v>
      </c>
      <c r="V26" s="1" t="s">
        <v>185</v>
      </c>
    </row>
    <row r="27" spans="1:27" s="1" customFormat="1" x14ac:dyDescent="0.2">
      <c r="A27" s="32" t="s">
        <v>121</v>
      </c>
      <c r="B27" s="16" t="s">
        <v>25</v>
      </c>
      <c r="C27" s="40">
        <f>C26</f>
        <v>11.235283828852049</v>
      </c>
      <c r="D27" s="40">
        <f t="shared" ref="D27:L27" si="47">D26</f>
        <v>14.36418671348361</v>
      </c>
      <c r="E27" s="40">
        <f t="shared" si="47"/>
        <v>15.96112758181641</v>
      </c>
      <c r="F27" s="40">
        <f t="shared" ref="F27:H27" si="48">F26</f>
        <v>9.8913558902957472</v>
      </c>
      <c r="G27" s="40">
        <f t="shared" ref="G27" si="49">G26</f>
        <v>12.116746363405195</v>
      </c>
      <c r="H27" s="40">
        <f t="shared" si="48"/>
        <v>7.4007901644024408</v>
      </c>
      <c r="I27" s="73">
        <f t="shared" si="47"/>
        <v>16.940486957592221</v>
      </c>
      <c r="J27" s="73">
        <f t="shared" ref="J27" si="50">J26</f>
        <v>19.858380514225868</v>
      </c>
      <c r="K27" s="73">
        <f t="shared" si="47"/>
        <v>21.432415516257116</v>
      </c>
      <c r="L27" s="73">
        <f t="shared" si="47"/>
        <v>16.241149374019152</v>
      </c>
      <c r="M27" s="88">
        <f t="shared" ref="M27:P27" si="51">M26</f>
        <v>13.171002660305174</v>
      </c>
      <c r="N27" s="88">
        <f t="shared" si="51"/>
        <v>17.383356300602209</v>
      </c>
      <c r="O27" s="88">
        <f t="shared" si="51"/>
        <v>19.497514317206985</v>
      </c>
      <c r="P27" s="88">
        <f t="shared" si="51"/>
        <v>16.852335896730864</v>
      </c>
      <c r="Q27" s="33" t="str">
        <f>A27</f>
        <v>SHMS</v>
      </c>
      <c r="R27" s="107">
        <f t="shared" ref="R27:U27" si="52">R26</f>
        <v>8.6752078812903459</v>
      </c>
      <c r="S27" s="107">
        <f t="shared" si="52"/>
        <v>9.6893715267828355</v>
      </c>
      <c r="T27" s="107">
        <f t="shared" si="52"/>
        <v>11.267531343064212</v>
      </c>
      <c r="U27" s="107">
        <f t="shared" si="52"/>
        <v>9.3674171070101178</v>
      </c>
      <c r="V27" s="1" t="s">
        <v>186</v>
      </c>
      <c r="W27"/>
      <c r="X27"/>
      <c r="Y27"/>
      <c r="Z27"/>
      <c r="AA27"/>
    </row>
    <row r="28" spans="1:27" s="1" customFormat="1" x14ac:dyDescent="0.2">
      <c r="A28" s="32" t="s">
        <v>195</v>
      </c>
      <c r="B28" s="16" t="s">
        <v>25</v>
      </c>
      <c r="C28" s="40">
        <f>C24+C27</f>
        <v>39.576184476576529</v>
      </c>
      <c r="D28" s="40">
        <f t="shared" ref="D28:I28" si="53">D24+D27</f>
        <v>31.37384902918776</v>
      </c>
      <c r="E28" s="40">
        <f t="shared" si="53"/>
        <v>28.334343430323727</v>
      </c>
      <c r="F28" s="40">
        <f t="shared" si="53"/>
        <v>34.664234371418935</v>
      </c>
      <c r="G28" s="40">
        <f t="shared" si="53"/>
        <v>28.551381324388441</v>
      </c>
      <c r="H28" s="40">
        <f t="shared" si="53"/>
        <v>34.249745360260022</v>
      </c>
      <c r="I28" s="73">
        <f t="shared" si="53"/>
        <v>42.227638484215476</v>
      </c>
      <c r="J28" s="73">
        <f t="shared" ref="J28" si="54">J24+J27</f>
        <v>36.3706150400916</v>
      </c>
      <c r="K28" s="73">
        <f t="shared" ref="K28" si="55">K24+K27</f>
        <v>33.80428875417239</v>
      </c>
      <c r="L28" s="73">
        <f t="shared" ref="L28" si="56">L24+L27</f>
        <v>32.86040837767186</v>
      </c>
      <c r="M28" s="88">
        <f t="shared" ref="M28" si="57">M24+M27</f>
        <v>51.307171960252859</v>
      </c>
      <c r="N28" s="88">
        <f t="shared" ref="N28" si="58">N24+N27</f>
        <v>39.870761280774246</v>
      </c>
      <c r="O28" s="88">
        <f t="shared" ref="O28" si="59">O24+O27</f>
        <v>35.771715139898191</v>
      </c>
      <c r="P28" s="88">
        <f t="shared" ref="P28:R28" si="60">P24+P27</f>
        <v>35.828405619275507</v>
      </c>
      <c r="Q28" s="148" t="s">
        <v>197</v>
      </c>
      <c r="R28" s="147">
        <f t="shared" si="60"/>
        <v>33.804021714364929</v>
      </c>
      <c r="S28" s="147">
        <f t="shared" ref="S28" si="61">S24+S27</f>
        <v>26.914159247672671</v>
      </c>
      <c r="T28" s="147">
        <f t="shared" ref="T28" si="62">T24+T27</f>
        <v>23.236023131809944</v>
      </c>
      <c r="U28" s="147">
        <f t="shared" ref="U28" si="63">U24+U27</f>
        <v>24.379599484012893</v>
      </c>
      <c r="V28" s="1" t="s">
        <v>198</v>
      </c>
      <c r="W28"/>
      <c r="X28"/>
      <c r="Y28"/>
      <c r="Z28"/>
      <c r="AA28"/>
    </row>
    <row r="29" spans="1:27" s="1" customFormat="1" x14ac:dyDescent="0.2">
      <c r="A29" s="15" t="s">
        <v>10</v>
      </c>
      <c r="B29" s="6" t="s">
        <v>26</v>
      </c>
      <c r="C29" s="59">
        <f t="shared" ref="C29:L29" si="64">C19*MProton/SQRT(1-C19)</f>
        <v>0.42223499999999997</v>
      </c>
      <c r="D29" s="59">
        <f t="shared" si="64"/>
        <v>0.42223499999999997</v>
      </c>
      <c r="E29" s="59">
        <f t="shared" si="64"/>
        <v>0.42223499999999997</v>
      </c>
      <c r="F29" s="59">
        <f t="shared" si="64"/>
        <v>0.42223499999999997</v>
      </c>
      <c r="G29" s="59">
        <f t="shared" ref="G29" si="65">G19*MProton/SQRT(1-G19)</f>
        <v>0.42223499999999997</v>
      </c>
      <c r="H29" s="59">
        <f t="shared" si="64"/>
        <v>0.42223499999999997</v>
      </c>
      <c r="I29" s="71">
        <f t="shared" si="64"/>
        <v>0.6634782927873375</v>
      </c>
      <c r="J29" s="71">
        <f t="shared" ref="J29" si="66">J19*MProton/SQRT(1-J19)</f>
        <v>0.6634782927873375</v>
      </c>
      <c r="K29" s="71">
        <f t="shared" si="64"/>
        <v>0.6634782927873375</v>
      </c>
      <c r="L29" s="71">
        <f t="shared" si="64"/>
        <v>0.6634782927873375</v>
      </c>
      <c r="M29" s="86">
        <f t="shared" ref="M29:P29" si="67">M19*MProton/SQRT(1-M19)</f>
        <v>0.89014953856079715</v>
      </c>
      <c r="N29" s="86">
        <f t="shared" si="67"/>
        <v>0.89014953856079715</v>
      </c>
      <c r="O29" s="86">
        <f t="shared" si="67"/>
        <v>0.89014953856079715</v>
      </c>
      <c r="P29" s="86">
        <f t="shared" si="67"/>
        <v>0.89014953856079715</v>
      </c>
      <c r="Q29" s="33" t="s">
        <v>10</v>
      </c>
      <c r="R29" s="105">
        <f>R19*MProton/SQRT(1-R19)</f>
        <v>0.25831293970889774</v>
      </c>
      <c r="S29" s="105">
        <f>S19*MProton/SQRT(1-S19)</f>
        <v>0.25831293970889774</v>
      </c>
      <c r="T29" s="105">
        <f>T19*MProton/SQRT(1-T19)</f>
        <v>0.25831293970889774</v>
      </c>
      <c r="U29" s="105">
        <f>U19*MProton/SQRT(1-U19)</f>
        <v>0.27086387879031293</v>
      </c>
      <c r="V29"/>
      <c r="W29"/>
      <c r="X29"/>
      <c r="Y29"/>
      <c r="Z29"/>
      <c r="AA29"/>
    </row>
    <row r="30" spans="1:27" x14ac:dyDescent="0.2">
      <c r="A30" s="15" t="s">
        <v>12</v>
      </c>
      <c r="B30" s="6"/>
      <c r="C30" s="59">
        <f t="shared" ref="C30:L30" si="68">1/(1-C23)</f>
        <v>2.03563265996655</v>
      </c>
      <c r="D30" s="39">
        <f t="shared" si="68"/>
        <v>3.9525433952074902</v>
      </c>
      <c r="E30" s="39">
        <f t="shared" si="68"/>
        <v>6.6188838322944719</v>
      </c>
      <c r="F30" s="39">
        <f t="shared" ref="F30:H30" si="69">1/(1-F23)</f>
        <v>2.0617106725779499</v>
      </c>
      <c r="G30" s="39">
        <f t="shared" ref="G30" si="70">1/(1-G23)</f>
        <v>3.4554763002271871</v>
      </c>
      <c r="H30" s="39">
        <f t="shared" si="69"/>
        <v>1.6724878818824864</v>
      </c>
      <c r="I30" s="70">
        <f t="shared" si="68"/>
        <v>3.0436813030758159</v>
      </c>
      <c r="J30" s="70">
        <f t="shared" ref="J30" si="71">1/(1-J23)</f>
        <v>5.8845173693579076</v>
      </c>
      <c r="K30" s="70">
        <f t="shared" si="68"/>
        <v>9.7542584213968855</v>
      </c>
      <c r="L30" s="70">
        <f t="shared" si="68"/>
        <v>4.6327599378444235</v>
      </c>
      <c r="M30" s="84">
        <f t="shared" ref="M30:P30" si="72">1/(1-M23)</f>
        <v>1.833175868853026</v>
      </c>
      <c r="N30" s="84">
        <f t="shared" si="72"/>
        <v>3.5188582636291055</v>
      </c>
      <c r="O30" s="84">
        <f t="shared" si="72"/>
        <v>5.8693034362470859</v>
      </c>
      <c r="P30" s="84">
        <f t="shared" si="72"/>
        <v>4.1226006277423481</v>
      </c>
      <c r="Q30" s="33" t="s">
        <v>12</v>
      </c>
      <c r="R30" s="105">
        <f t="shared" ref="R30:U30" si="73">1/(1-R23)</f>
        <v>1.88664907474249</v>
      </c>
      <c r="S30" s="105">
        <f t="shared" si="73"/>
        <v>2.6986708780976794</v>
      </c>
      <c r="T30" s="105">
        <f t="shared" si="73"/>
        <v>4.5460770089995801</v>
      </c>
      <c r="U30" s="105">
        <f t="shared" si="73"/>
        <v>2.9685802305838469</v>
      </c>
    </row>
    <row r="31" spans="1:27" x14ac:dyDescent="0.2">
      <c r="A31" s="15" t="s">
        <v>13</v>
      </c>
      <c r="B31" s="6" t="s">
        <v>26</v>
      </c>
      <c r="C31" s="59">
        <f>SQRT(C18+C20^2)</f>
        <v>4.7664890210539861</v>
      </c>
      <c r="D31" s="39">
        <f>SQRT(D18+D20^2)</f>
        <v>4.7664890210539861</v>
      </c>
      <c r="E31" s="39">
        <f>SQRT(E18+E20^2)</f>
        <v>4.7664890210539861</v>
      </c>
      <c r="F31" s="39">
        <f t="shared" ref="F31:H31" si="74">SQRT(F18+F20^2)</f>
        <v>6.2495393732947404</v>
      </c>
      <c r="G31" s="39">
        <f t="shared" ref="G31" si="75">SQRT(G18+G20^2)</f>
        <v>6.2495393732947404</v>
      </c>
      <c r="H31" s="39">
        <f t="shared" si="74"/>
        <v>8.4722578784577358</v>
      </c>
      <c r="I31" s="70">
        <f t="shared" ref="I31:L31" si="76">SQRT(I18+I20^2)</f>
        <v>4.0657462436016489</v>
      </c>
      <c r="J31" s="70">
        <f t="shared" ref="J31" si="77">SQRT(J18+J20^2)</f>
        <v>4.0657462436016489</v>
      </c>
      <c r="K31" s="70">
        <f t="shared" si="76"/>
        <v>4.0657462436016489</v>
      </c>
      <c r="L31" s="70">
        <f t="shared" si="76"/>
        <v>5.5650442907920441</v>
      </c>
      <c r="M31" s="84">
        <f t="shared" ref="M31:P31" si="78">SQRT(M18+M20^2)</f>
        <v>5.0612332546896548</v>
      </c>
      <c r="N31" s="84">
        <f t="shared" si="78"/>
        <v>5.0612332546896548</v>
      </c>
      <c r="O31" s="84">
        <f t="shared" si="78"/>
        <v>5.0612332546896548</v>
      </c>
      <c r="P31" s="84">
        <f t="shared" si="78"/>
        <v>5.8648070152795801</v>
      </c>
      <c r="Q31" s="33" t="s">
        <v>13</v>
      </c>
      <c r="R31" s="105">
        <f>SQRT(R18+R20^2)</f>
        <v>4.8826896164491727</v>
      </c>
      <c r="S31" s="105">
        <f t="shared" ref="S31:U31" si="79">SQRT(S18+S20^2)</f>
        <v>5.5494108990479862</v>
      </c>
      <c r="T31" s="105">
        <f t="shared" si="79"/>
        <v>5.5494108990479862</v>
      </c>
      <c r="U31" s="105">
        <f t="shared" si="79"/>
        <v>6.6249667403029662</v>
      </c>
    </row>
    <row r="32" spans="1:27" x14ac:dyDescent="0.2">
      <c r="A32" s="15" t="s">
        <v>94</v>
      </c>
      <c r="B32" s="6" t="s">
        <v>23</v>
      </c>
      <c r="C32" s="59">
        <f t="shared" ref="C32:P32" si="80">C18*(1-C19)/(C19*2*(MProton+C20-C31))</f>
        <v>4.3539827293905162</v>
      </c>
      <c r="D32" s="39">
        <f t="shared" si="80"/>
        <v>4.3539827293905162</v>
      </c>
      <c r="E32" s="39">
        <f t="shared" si="80"/>
        <v>4.3539827293905162</v>
      </c>
      <c r="F32" s="39">
        <f t="shared" si="80"/>
        <v>5.832278259123389</v>
      </c>
      <c r="G32" s="39">
        <f t="shared" si="80"/>
        <v>5.832278259123389</v>
      </c>
      <c r="H32" s="39">
        <f t="shared" si="80"/>
        <v>8.0509581684893554</v>
      </c>
      <c r="I32" s="70">
        <f t="shared" si="80"/>
        <v>3.4265329735142718</v>
      </c>
      <c r="J32" s="70">
        <f t="shared" ref="J32" si="81">J18*(1-J19)/(J19*2*(MProton+J20-J31))</f>
        <v>3.4265329735142718</v>
      </c>
      <c r="K32" s="70">
        <f t="shared" si="80"/>
        <v>3.4265329735142718</v>
      </c>
      <c r="L32" s="70">
        <f t="shared" si="80"/>
        <v>4.9090760605919259</v>
      </c>
      <c r="M32" s="84">
        <f t="shared" si="80"/>
        <v>4.1816824687716201</v>
      </c>
      <c r="N32" s="84">
        <f t="shared" si="80"/>
        <v>4.1816824687716201</v>
      </c>
      <c r="O32" s="84">
        <f t="shared" si="80"/>
        <v>4.1816824687716201</v>
      </c>
      <c r="P32" s="84">
        <f t="shared" si="80"/>
        <v>4.9716728097666643</v>
      </c>
      <c r="Q32" s="33" t="s">
        <v>14</v>
      </c>
      <c r="R32" s="105">
        <f>R18*(1-R19)/(R19*2*(MProton+R20-R31))</f>
        <v>4.6289965536948072</v>
      </c>
      <c r="S32" s="105">
        <f>S18*(1-S19)/(S19*2*(MProton+S20-S31))</f>
        <v>5.2948743130390685</v>
      </c>
      <c r="T32" s="105">
        <f>T18*(1-T19)/(T19*2*(MProton+T20-T31))</f>
        <v>5.2948743130390685</v>
      </c>
      <c r="U32" s="105">
        <f>U18*(1-U19)/(U19*2*(MProton+U20-U31))</f>
        <v>6.357040351098628</v>
      </c>
    </row>
    <row r="33" spans="1:30" x14ac:dyDescent="0.2">
      <c r="A33" s="15" t="s">
        <v>15</v>
      </c>
      <c r="B33" s="6" t="s">
        <v>24</v>
      </c>
      <c r="C33" s="59">
        <f>-C18-2*C32*(C20-C31)</f>
        <v>-0.16264934335909143</v>
      </c>
      <c r="D33" s="39">
        <f>-D18-2*D32*(D20-D31)</f>
        <v>-0.16264934335909143</v>
      </c>
      <c r="E33" s="39">
        <f>-E18-2*E32*(E20-E31)</f>
        <v>-0.16264934335909143</v>
      </c>
      <c r="F33" s="39">
        <f t="shared" ref="F33:H33" si="82">-F18-2*F32*(F20-F31)</f>
        <v>-0.1662577300401602</v>
      </c>
      <c r="G33" s="39">
        <f t="shared" ref="G33" si="83">-G18-2*G32*(G20-G31)</f>
        <v>-0.1662577300401602</v>
      </c>
      <c r="H33" s="39">
        <f t="shared" si="82"/>
        <v>-0.16934967879065521</v>
      </c>
      <c r="I33" s="70">
        <f>-I18-2*I32*(I20-I31)</f>
        <v>-0.3697682219031182</v>
      </c>
      <c r="J33" s="70">
        <f>-J18-2*J32*(J20-J31)</f>
        <v>-0.3697682219031182</v>
      </c>
      <c r="K33" s="70">
        <f t="shared" ref="K33:M33" si="84">-K18-2*K32*(K20-K31)</f>
        <v>-0.3697682219031182</v>
      </c>
      <c r="L33" s="70">
        <f t="shared" si="84"/>
        <v>-0.38762786469319188</v>
      </c>
      <c r="M33" s="84">
        <f t="shared" si="84"/>
        <v>-0.6526546791031782</v>
      </c>
      <c r="N33" s="84">
        <f t="shared" ref="N33" si="85">-N18-2*N32*(N20-N31)</f>
        <v>-0.6526546791031782</v>
      </c>
      <c r="O33" s="84">
        <f t="shared" ref="O33" si="86">-O18-2*O32*(O20-O31)</f>
        <v>-0.6526546791031782</v>
      </c>
      <c r="P33" s="84">
        <f t="shared" ref="P33" si="87">-P18-2*P32*(P20-P31)</f>
        <v>-0.6701588051918792</v>
      </c>
      <c r="Q33" s="33" t="s">
        <v>15</v>
      </c>
      <c r="R33" s="105">
        <f>-R18-2*R32*(R20-R31)</f>
        <v>-6.3225067336325491E-2</v>
      </c>
      <c r="S33" s="105">
        <f t="shared" ref="S33:U33" si="88">-S18-2*S32*(S20-S31)</f>
        <v>-6.3638864150883379E-2</v>
      </c>
      <c r="T33" s="105">
        <f t="shared" si="88"/>
        <v>-6.3638864150883379E-2</v>
      </c>
      <c r="U33" s="105">
        <f t="shared" si="88"/>
        <v>-7.0378077128316008E-2</v>
      </c>
    </row>
    <row r="34" spans="1:30" x14ac:dyDescent="0.2">
      <c r="A34" s="15" t="s">
        <v>16</v>
      </c>
      <c r="B34" s="6" t="s">
        <v>23</v>
      </c>
      <c r="C34" s="59">
        <f t="shared" ref="C34:L34" si="89">SQRT(-C33)</f>
        <v>0.40329808251353172</v>
      </c>
      <c r="D34" s="39">
        <f t="shared" si="89"/>
        <v>0.40329808251353172</v>
      </c>
      <c r="E34" s="39">
        <f t="shared" si="89"/>
        <v>0.40329808251353172</v>
      </c>
      <c r="F34" s="39">
        <f t="shared" si="89"/>
        <v>0.40774713983075367</v>
      </c>
      <c r="G34" s="39">
        <f t="shared" ref="G34" si="90">SQRT(-G33)</f>
        <v>0.40774713983075367</v>
      </c>
      <c r="H34" s="39">
        <f t="shared" si="89"/>
        <v>0.41152117660049431</v>
      </c>
      <c r="I34" s="70">
        <f t="shared" si="89"/>
        <v>0.60808570276164053</v>
      </c>
      <c r="J34" s="70">
        <f t="shared" ref="J34" si="91">SQRT(-J33)</f>
        <v>0.60808570276164053</v>
      </c>
      <c r="K34" s="70">
        <f t="shared" si="89"/>
        <v>0.60808570276164053</v>
      </c>
      <c r="L34" s="70">
        <f t="shared" si="89"/>
        <v>0.62259767482154305</v>
      </c>
      <c r="M34" s="84">
        <f t="shared" ref="M34:P34" si="92">SQRT(-M33)</f>
        <v>0.8078704593579209</v>
      </c>
      <c r="N34" s="84">
        <f t="shared" si="92"/>
        <v>0.8078704593579209</v>
      </c>
      <c r="O34" s="84">
        <f t="shared" si="92"/>
        <v>0.8078704593579209</v>
      </c>
      <c r="P34" s="84">
        <f t="shared" si="92"/>
        <v>0.81863227715005182</v>
      </c>
      <c r="Q34" s="33" t="s">
        <v>16</v>
      </c>
      <c r="R34" s="105">
        <f t="shared" ref="R34:U34" si="93">SQRT(-R33)</f>
        <v>0.25144595311184764</v>
      </c>
      <c r="S34" s="105">
        <f t="shared" si="93"/>
        <v>0.25226744568192577</v>
      </c>
      <c r="T34" s="105">
        <f t="shared" si="93"/>
        <v>0.25226744568192577</v>
      </c>
      <c r="U34" s="105">
        <f t="shared" si="93"/>
        <v>0.26528866754596964</v>
      </c>
    </row>
    <row r="35" spans="1:30" x14ac:dyDescent="0.2">
      <c r="A35" s="15" t="s">
        <v>17</v>
      </c>
      <c r="B35" s="6" t="s">
        <v>70</v>
      </c>
      <c r="C35" s="59">
        <v>3</v>
      </c>
      <c r="D35" s="39">
        <v>3</v>
      </c>
      <c r="E35" s="39">
        <v>3</v>
      </c>
      <c r="F35" s="39">
        <v>4</v>
      </c>
      <c r="G35" s="39">
        <v>3</v>
      </c>
      <c r="H35" s="39">
        <v>4</v>
      </c>
      <c r="I35" s="70">
        <v>3</v>
      </c>
      <c r="J35" s="70">
        <v>3</v>
      </c>
      <c r="K35" s="70">
        <v>3</v>
      </c>
      <c r="L35" s="70">
        <v>3</v>
      </c>
      <c r="M35" s="84">
        <v>3</v>
      </c>
      <c r="N35" s="84">
        <v>3</v>
      </c>
      <c r="O35" s="84">
        <v>3</v>
      </c>
      <c r="P35" s="84">
        <v>3</v>
      </c>
      <c r="Q35" s="33" t="s">
        <v>17</v>
      </c>
      <c r="R35" s="105">
        <v>6</v>
      </c>
      <c r="S35" s="105">
        <v>4</v>
      </c>
      <c r="T35" s="105">
        <v>4</v>
      </c>
      <c r="U35" s="105">
        <v>6</v>
      </c>
    </row>
    <row r="36" spans="1:30" x14ac:dyDescent="0.2">
      <c r="A36" s="21" t="s">
        <v>22</v>
      </c>
      <c r="B36" s="7" t="s">
        <v>71</v>
      </c>
      <c r="C36" s="60">
        <f t="shared" ref="C36:R36" si="94">Calo_C/(C35*C35)</f>
        <v>4.2311111111111112E-2</v>
      </c>
      <c r="D36" s="24">
        <f t="shared" si="94"/>
        <v>4.2311111111111112E-2</v>
      </c>
      <c r="E36" s="24">
        <f t="shared" si="94"/>
        <v>4.2311111111111112E-2</v>
      </c>
      <c r="F36" s="24">
        <f t="shared" si="94"/>
        <v>2.3800000000000002E-2</v>
      </c>
      <c r="G36" s="24">
        <f t="shared" si="94"/>
        <v>4.2311111111111112E-2</v>
      </c>
      <c r="H36" s="24">
        <f t="shared" si="94"/>
        <v>2.3800000000000002E-2</v>
      </c>
      <c r="I36" s="74">
        <f t="shared" si="94"/>
        <v>4.2311111111111112E-2</v>
      </c>
      <c r="J36" s="74">
        <f t="shared" ref="J36" si="95">Calo_C/(J35*J35)</f>
        <v>4.2311111111111112E-2</v>
      </c>
      <c r="K36" s="74">
        <f t="shared" si="94"/>
        <v>4.2311111111111112E-2</v>
      </c>
      <c r="L36" s="74">
        <f t="shared" si="94"/>
        <v>4.2311111111111112E-2</v>
      </c>
      <c r="M36" s="89">
        <f t="shared" si="94"/>
        <v>4.2311111111111112E-2</v>
      </c>
      <c r="N36" s="89">
        <f t="shared" si="94"/>
        <v>4.2311111111111112E-2</v>
      </c>
      <c r="O36" s="89">
        <f t="shared" si="94"/>
        <v>4.2311111111111112E-2</v>
      </c>
      <c r="P36" s="89">
        <f t="shared" si="94"/>
        <v>4.2311111111111112E-2</v>
      </c>
      <c r="Q36" s="47" t="s">
        <v>22</v>
      </c>
      <c r="R36" s="108">
        <f t="shared" si="94"/>
        <v>1.0577777777777778E-2</v>
      </c>
      <c r="S36" s="108">
        <f t="shared" ref="S36" si="96">Calo_C/(S35*S35)</f>
        <v>2.3800000000000002E-2</v>
      </c>
      <c r="T36" s="108">
        <f t="shared" ref="T36" si="97">Calo_C/(T35*T35)</f>
        <v>2.3800000000000002E-2</v>
      </c>
      <c r="U36" s="108">
        <f t="shared" ref="U36" si="98">Calo_C/(U35*U35)</f>
        <v>1.0577777777777778E-2</v>
      </c>
      <c r="V36" s="4"/>
    </row>
    <row r="37" spans="1:30" s="4" customFormat="1" x14ac:dyDescent="0.2">
      <c r="A37" s="21" t="s">
        <v>31</v>
      </c>
      <c r="B37" s="7" t="s">
        <v>72</v>
      </c>
      <c r="C37" s="60">
        <f>SQRT(C36/4)</f>
        <v>0.10284832413694342</v>
      </c>
      <c r="D37" s="24">
        <f t="shared" ref="D37:L37" si="99">SQRT(D36/4)</f>
        <v>0.10284832413694342</v>
      </c>
      <c r="E37" s="24">
        <f t="shared" si="99"/>
        <v>0.10284832413694342</v>
      </c>
      <c r="F37" s="24">
        <f t="shared" ref="F37:H37" si="100">SQRT(F36/4)</f>
        <v>7.7136243102707572E-2</v>
      </c>
      <c r="G37" s="24">
        <f t="shared" si="100"/>
        <v>0.10284832413694342</v>
      </c>
      <c r="H37" s="24">
        <f t="shared" si="100"/>
        <v>7.7136243102707572E-2</v>
      </c>
      <c r="I37" s="74">
        <f t="shared" si="99"/>
        <v>0.10284832413694342</v>
      </c>
      <c r="J37" s="74">
        <f t="shared" ref="J37" si="101">SQRT(J36/4)</f>
        <v>0.10284832413694342</v>
      </c>
      <c r="K37" s="74">
        <f t="shared" si="99"/>
        <v>0.10284832413694342</v>
      </c>
      <c r="L37" s="74">
        <f t="shared" si="99"/>
        <v>0.10284832413694342</v>
      </c>
      <c r="M37" s="89">
        <f t="shared" ref="M37:P37" si="102">SQRT(M36/4)</f>
        <v>0.10284832413694342</v>
      </c>
      <c r="N37" s="89">
        <f t="shared" si="102"/>
        <v>0.10284832413694342</v>
      </c>
      <c r="O37" s="89">
        <f t="shared" si="102"/>
        <v>0.10284832413694342</v>
      </c>
      <c r="P37" s="89">
        <f t="shared" si="102"/>
        <v>0.10284832413694342</v>
      </c>
      <c r="Q37" s="47" t="s">
        <v>31</v>
      </c>
      <c r="R37" s="108">
        <f t="shared" ref="R37:U37" si="103">SQRT(R36/4)</f>
        <v>5.142416206847171E-2</v>
      </c>
      <c r="S37" s="108">
        <f t="shared" si="103"/>
        <v>7.7136243102707572E-2</v>
      </c>
      <c r="T37" s="108">
        <f t="shared" si="103"/>
        <v>7.7136243102707572E-2</v>
      </c>
      <c r="U37" s="108">
        <f t="shared" si="103"/>
        <v>5.142416206847171E-2</v>
      </c>
      <c r="W37"/>
      <c r="X37"/>
      <c r="Y37"/>
      <c r="Z37"/>
      <c r="AA37"/>
    </row>
    <row r="38" spans="1:30" s="4" customFormat="1" x14ac:dyDescent="0.2">
      <c r="A38" s="26" t="s">
        <v>32</v>
      </c>
      <c r="B38" s="27" t="s">
        <v>23</v>
      </c>
      <c r="C38" s="22">
        <f t="shared" ref="C38:P38" si="104">C18*(1/C19-1)/(2*(MProton+C20-C31*COS(C37)))</f>
        <v>4.1820010097605351</v>
      </c>
      <c r="D38" s="23">
        <f t="shared" si="104"/>
        <v>4.1820010097605351</v>
      </c>
      <c r="E38" s="23">
        <f t="shared" si="104"/>
        <v>4.1820010097605351</v>
      </c>
      <c r="F38" s="23">
        <f t="shared" si="104"/>
        <v>5.6597548552503811</v>
      </c>
      <c r="G38" s="23">
        <f t="shared" si="104"/>
        <v>5.5325774830117691</v>
      </c>
      <c r="H38" s="23">
        <f t="shared" si="104"/>
        <v>7.7302558786486379</v>
      </c>
      <c r="I38" s="75">
        <f t="shared" si="104"/>
        <v>3.2843092973011649</v>
      </c>
      <c r="J38" s="75">
        <f t="shared" ref="J38" si="105">J18*(1/J19-1)/(2*(MProton+J20-J31*COS(J37)))</f>
        <v>3.2843092973011649</v>
      </c>
      <c r="K38" s="75">
        <f t="shared" si="104"/>
        <v>3.2843092973011649</v>
      </c>
      <c r="L38" s="75">
        <f t="shared" si="104"/>
        <v>4.6305466892362377</v>
      </c>
      <c r="M38" s="91">
        <f t="shared" si="104"/>
        <v>3.9235630343749341</v>
      </c>
      <c r="N38" s="91">
        <f t="shared" si="104"/>
        <v>3.9235630343749341</v>
      </c>
      <c r="O38" s="91">
        <f t="shared" si="104"/>
        <v>3.9235630343749341</v>
      </c>
      <c r="P38" s="91">
        <f t="shared" si="104"/>
        <v>4.6160585513176047</v>
      </c>
      <c r="Q38" s="57" t="s">
        <v>32</v>
      </c>
      <c r="R38" s="109">
        <f>R18*(1/R19-1)/(2*(MProton+R20-R31*COS(R37)))</f>
        <v>4.5877711595212496</v>
      </c>
      <c r="S38" s="109">
        <f>S18*(1/S19-1)/(2*(MProton+S20-S31*COS(S37)))</f>
        <v>5.1758669941800663</v>
      </c>
      <c r="T38" s="109">
        <f>T18*(1/T19-1)/(2*(MProton+T20-T31*COS(T37)))</f>
        <v>5.1758669941800663</v>
      </c>
      <c r="U38" s="109">
        <f>U18*(1/U19-1)/(2*(MProton+U20-U31*COS(U37)))</f>
        <v>6.2793530909464366</v>
      </c>
      <c r="V38" s="3"/>
      <c r="W38"/>
      <c r="X38"/>
      <c r="Y38"/>
      <c r="Z38"/>
      <c r="AA38"/>
    </row>
    <row r="39" spans="1:30" s="3" customFormat="1" x14ac:dyDescent="0.2">
      <c r="A39" s="26" t="s">
        <v>33</v>
      </c>
      <c r="B39" s="27" t="s">
        <v>24</v>
      </c>
      <c r="C39" s="22">
        <f>-C18-2*C38*(C20-C31*COS(C37))</f>
        <v>-0.48539023841671369</v>
      </c>
      <c r="D39" s="23">
        <f>-D18-2*D38*(D20-D31*COS(D37))</f>
        <v>-0.48539023841671369</v>
      </c>
      <c r="E39" s="23">
        <f>-E18-2*E38*(E20-E31*COS(E37))</f>
        <v>-0.48539023841671369</v>
      </c>
      <c r="F39" s="23">
        <f t="shared" ref="F39:H39" si="106">-F18-2*F38*(F20-F31*COS(F37))</f>
        <v>-0.49001514974824589</v>
      </c>
      <c r="G39" s="23">
        <f t="shared" si="106"/>
        <v>-0.728676206491226</v>
      </c>
      <c r="H39" s="23">
        <f t="shared" si="106"/>
        <v>-0.77117959590574348</v>
      </c>
      <c r="I39" s="75">
        <f>-I18-2*I38*(I20-I31*COS(I37))</f>
        <v>-0.63666517268463441</v>
      </c>
      <c r="J39" s="75">
        <f>-J18-2*J38*(J20-J31*COS(J37))</f>
        <v>-0.63666517268463441</v>
      </c>
      <c r="K39" s="75">
        <f t="shared" ref="K39" si="107">-K18-2*K38*(K20-K31*COS(K37))</f>
        <v>-0.63666517268463441</v>
      </c>
      <c r="L39" s="75">
        <f t="shared" ref="L39:M39" si="108">-L18-2*L38*(L20-L31*COS(L37))</f>
        <v>-0.91031608297927713</v>
      </c>
      <c r="M39" s="91">
        <f t="shared" si="108"/>
        <v>-1.1370416096919991</v>
      </c>
      <c r="N39" s="91">
        <f t="shared" ref="N39" si="109">-N18-2*N38*(N20-N31*COS(N37))</f>
        <v>-1.1370416096919991</v>
      </c>
      <c r="O39" s="91">
        <f t="shared" ref="O39" si="110">-O18-2*O38*(O20-O31*COS(O37))</f>
        <v>-1.1370416096919991</v>
      </c>
      <c r="P39" s="91">
        <f t="shared" ref="P39" si="111">-P18-2*P38*(P20-P31*COS(P37))</f>
        <v>-1.3375045225973841</v>
      </c>
      <c r="Q39" s="57" t="s">
        <v>33</v>
      </c>
      <c r="R39" s="109">
        <f>-R18-2*R38*(R20-R31*COS(R37))</f>
        <v>-0.14058864204242472</v>
      </c>
      <c r="S39" s="109">
        <f t="shared" ref="S39:U39" si="112">-S18-2*S38*(S20-S31*COS(S37))</f>
        <v>-0.28696799872168866</v>
      </c>
      <c r="T39" s="109">
        <f t="shared" si="112"/>
        <v>-0.28696799872168866</v>
      </c>
      <c r="U39" s="109">
        <f t="shared" si="112"/>
        <v>-0.21616598952991861</v>
      </c>
      <c r="W39"/>
      <c r="X39"/>
      <c r="Y39"/>
      <c r="Z39"/>
      <c r="AA39"/>
      <c r="AD39" s="3" t="s">
        <v>119</v>
      </c>
    </row>
    <row r="40" spans="1:30" s="3" customFormat="1" x14ac:dyDescent="0.2">
      <c r="A40" s="26" t="s">
        <v>34</v>
      </c>
      <c r="B40" s="27" t="s">
        <v>24</v>
      </c>
      <c r="C40" s="22">
        <f t="shared" ref="C40:I40" si="113">C33-C39</f>
        <v>0.32274089505762227</v>
      </c>
      <c r="D40" s="23">
        <f t="shared" si="113"/>
        <v>0.32274089505762227</v>
      </c>
      <c r="E40" s="23">
        <f t="shared" si="113"/>
        <v>0.32274089505762227</v>
      </c>
      <c r="F40" s="23">
        <f t="shared" ref="F40:H40" si="114">F33-F39</f>
        <v>0.32375741970808569</v>
      </c>
      <c r="G40" s="23">
        <f t="shared" si="114"/>
        <v>0.5624184764510658</v>
      </c>
      <c r="H40" s="23">
        <f t="shared" si="114"/>
        <v>0.60182991711508826</v>
      </c>
      <c r="I40" s="75">
        <f t="shared" si="113"/>
        <v>0.26689695078151621</v>
      </c>
      <c r="J40" s="75">
        <f t="shared" ref="J40" si="115">J33-J39</f>
        <v>0.26689695078151621</v>
      </c>
      <c r="K40" s="75">
        <f t="shared" ref="K40:L40" si="116">K33-K39</f>
        <v>0.26689695078151621</v>
      </c>
      <c r="L40" s="75">
        <f t="shared" si="116"/>
        <v>0.52268821828608525</v>
      </c>
      <c r="M40" s="91">
        <f t="shared" ref="M40:P40" si="117">M33-M39</f>
        <v>0.48438693058882087</v>
      </c>
      <c r="N40" s="91">
        <f t="shared" si="117"/>
        <v>0.48438693058882087</v>
      </c>
      <c r="O40" s="91">
        <f t="shared" si="117"/>
        <v>0.48438693058882087</v>
      </c>
      <c r="P40" s="91">
        <f t="shared" si="117"/>
        <v>0.66734571740550486</v>
      </c>
      <c r="Q40" s="57" t="s">
        <v>34</v>
      </c>
      <c r="R40" s="109">
        <f t="shared" ref="R40:U40" si="118">R33-R39</f>
        <v>7.7363574706099225E-2</v>
      </c>
      <c r="S40" s="109">
        <f t="shared" si="118"/>
        <v>0.22332913457080528</v>
      </c>
      <c r="T40" s="109">
        <f t="shared" si="118"/>
        <v>0.22332913457080528</v>
      </c>
      <c r="U40" s="109">
        <f t="shared" si="118"/>
        <v>0.1457879124016026</v>
      </c>
      <c r="W40"/>
      <c r="X40"/>
      <c r="Y40"/>
      <c r="Z40"/>
      <c r="AA40"/>
      <c r="AC40" s="3">
        <v>0.2</v>
      </c>
      <c r="AD40" s="3">
        <f>Y42</f>
        <v>0</v>
      </c>
    </row>
    <row r="41" spans="1:30" s="3" customFormat="1" x14ac:dyDescent="0.2">
      <c r="A41" s="26" t="s">
        <v>40</v>
      </c>
      <c r="B41" s="27" t="s">
        <v>39</v>
      </c>
      <c r="C41" s="22">
        <f>C$26-($H$8+0.02)/C$35*180/PI()</f>
        <v>5.5057058775438152</v>
      </c>
      <c r="D41" s="22">
        <f>D$26-($H$8+0.02)/D$35*180/PI()</f>
        <v>8.6346087621753753</v>
      </c>
      <c r="E41" s="22">
        <f t="shared" ref="E41:G41" si="119">E$26-($H$8+0.02)/E$35*180/PI()</f>
        <v>10.231549630508177</v>
      </c>
      <c r="F41" s="22">
        <f t="shared" si="119"/>
        <v>5.5941724268145725</v>
      </c>
      <c r="G41" s="22">
        <f t="shared" si="119"/>
        <v>6.387168412096961</v>
      </c>
      <c r="H41" s="22">
        <f>H$26-($H$8+0.02)/H$35*180/PI()</f>
        <v>3.103606700921266</v>
      </c>
      <c r="I41" s="76">
        <f>I$26-($H$8+0.02)/I$35*180/PI()</f>
        <v>11.210909006283988</v>
      </c>
      <c r="J41" s="76">
        <f>J$26-($H$8+0.02)/J$35*180/PI()</f>
        <v>14.128802562917635</v>
      </c>
      <c r="K41" s="76">
        <f t="shared" ref="K41:U41" si="120">K$26-($H$8+0.02)/K$35*180/PI()</f>
        <v>15.702837564948883</v>
      </c>
      <c r="L41" s="76">
        <f t="shared" si="120"/>
        <v>10.511571422710919</v>
      </c>
      <c r="M41" s="92">
        <f t="shared" si="120"/>
        <v>7.4414247089969399</v>
      </c>
      <c r="N41" s="92">
        <f t="shared" si="120"/>
        <v>11.653778349293976</v>
      </c>
      <c r="O41" s="92">
        <f t="shared" si="120"/>
        <v>13.767936365898752</v>
      </c>
      <c r="P41" s="92">
        <f t="shared" si="120"/>
        <v>11.122757945422631</v>
      </c>
      <c r="Q41" s="57" t="s">
        <v>40</v>
      </c>
      <c r="R41" s="110">
        <f t="shared" si="120"/>
        <v>5.8104189056362294</v>
      </c>
      <c r="S41" s="110">
        <f t="shared" si="120"/>
        <v>5.3921880633016608</v>
      </c>
      <c r="T41" s="110">
        <f t="shared" si="120"/>
        <v>6.9703478795830369</v>
      </c>
      <c r="U41" s="110">
        <f t="shared" si="120"/>
        <v>6.5026281313560013</v>
      </c>
      <c r="V41" s="127"/>
      <c r="W41"/>
      <c r="X41"/>
      <c r="Y41"/>
      <c r="Z41"/>
      <c r="AA41"/>
      <c r="AC41" s="3">
        <v>0.2</v>
      </c>
      <c r="AD41" s="3">
        <f>Y27</f>
        <v>0</v>
      </c>
    </row>
    <row r="42" spans="1:30" s="3" customFormat="1" x14ac:dyDescent="0.2">
      <c r="A42" s="26" t="s">
        <v>81</v>
      </c>
      <c r="B42" s="27" t="s">
        <v>39</v>
      </c>
      <c r="C42" s="22">
        <f>C$26-($H$8+0)/C$35*180/PI()</f>
        <v>5.8876777409643655</v>
      </c>
      <c r="D42" s="22">
        <f t="shared" ref="D42:U42" si="121">D$26-($H$8+0)/D$35*180/PI()</f>
        <v>9.0165806255959264</v>
      </c>
      <c r="E42" s="22">
        <f t="shared" si="121"/>
        <v>10.613521493928726</v>
      </c>
      <c r="F42" s="22">
        <f t="shared" si="121"/>
        <v>5.8806513243799845</v>
      </c>
      <c r="G42" s="22">
        <f t="shared" si="121"/>
        <v>6.7691402755175112</v>
      </c>
      <c r="H42" s="22">
        <f t="shared" si="121"/>
        <v>3.390085598486678</v>
      </c>
      <c r="I42" s="77">
        <f t="shared" si="121"/>
        <v>11.592880869704537</v>
      </c>
      <c r="J42" s="77">
        <f t="shared" si="121"/>
        <v>14.510774426338184</v>
      </c>
      <c r="K42" s="77">
        <f t="shared" si="121"/>
        <v>16.084809428369432</v>
      </c>
      <c r="L42" s="77">
        <f t="shared" si="121"/>
        <v>10.893543286131468</v>
      </c>
      <c r="M42" s="92">
        <f t="shared" si="121"/>
        <v>7.8233965724174901</v>
      </c>
      <c r="N42" s="92">
        <f t="shared" si="121"/>
        <v>12.035750212714525</v>
      </c>
      <c r="O42" s="92">
        <f t="shared" si="121"/>
        <v>14.149908229319301</v>
      </c>
      <c r="P42" s="92">
        <f t="shared" si="121"/>
        <v>11.50472980884318</v>
      </c>
      <c r="Q42" s="26" t="s">
        <v>81</v>
      </c>
      <c r="R42" s="110">
        <f t="shared" si="121"/>
        <v>6.0014048373465041</v>
      </c>
      <c r="S42" s="110">
        <f t="shared" si="121"/>
        <v>5.6786669608670728</v>
      </c>
      <c r="T42" s="110">
        <f t="shared" si="121"/>
        <v>7.2568267771484489</v>
      </c>
      <c r="U42" s="110">
        <f t="shared" si="121"/>
        <v>6.6936140630662759</v>
      </c>
      <c r="V42" s="127"/>
      <c r="W42"/>
      <c r="X42"/>
      <c r="Y42"/>
      <c r="Z42"/>
      <c r="AA42"/>
      <c r="AC42" s="3">
        <v>0.2</v>
      </c>
      <c r="AD42" s="3">
        <f>2*AD41-AD40</f>
        <v>0</v>
      </c>
    </row>
    <row r="43" spans="1:30" s="3" customFormat="1" x14ac:dyDescent="0.2">
      <c r="A43" s="21" t="s">
        <v>27</v>
      </c>
      <c r="B43" s="7" t="s">
        <v>73</v>
      </c>
      <c r="C43" s="60">
        <f>1E+37*(C35/1.1)^2</f>
        <v>7.4380165289256191E+37</v>
      </c>
      <c r="D43" s="24">
        <f t="shared" ref="D43:L43" si="122">1E+37*(D35/1.1)^2</f>
        <v>7.4380165289256191E+37</v>
      </c>
      <c r="E43" s="24">
        <f t="shared" si="122"/>
        <v>7.4380165289256191E+37</v>
      </c>
      <c r="F43" s="24">
        <f>MIN(1E+37*(F35/1.1)^2,$V44*6.023E+23/0.00000000000016*10/15)</f>
        <v>7.5287499999999999E+37</v>
      </c>
      <c r="G43" s="24">
        <f>MIN(1E+37*(G35/1.1)^2,$V44*6.023E+23/0.00000000000016*10/15)</f>
        <v>7.4380165289256191E+37</v>
      </c>
      <c r="H43" s="24">
        <f>MIN(1E+37*(H35/1.1)^2,$V44*6.023E+23/0.00000000000016*10/15)</f>
        <v>7.5287499999999999E+37</v>
      </c>
      <c r="I43" s="74">
        <f t="shared" si="122"/>
        <v>7.4380165289256191E+37</v>
      </c>
      <c r="J43" s="74">
        <f t="shared" ref="J43" si="123">1E+37*(J35/1.1)^2</f>
        <v>7.4380165289256191E+37</v>
      </c>
      <c r="K43" s="74">
        <f t="shared" si="122"/>
        <v>7.4380165289256191E+37</v>
      </c>
      <c r="L43" s="74">
        <f t="shared" si="122"/>
        <v>7.4380165289256191E+37</v>
      </c>
      <c r="M43" s="89">
        <f t="shared" ref="M43:P43" si="124">1E+37*(M35/1.1)^2</f>
        <v>7.4380165289256191E+37</v>
      </c>
      <c r="N43" s="89">
        <f t="shared" si="124"/>
        <v>7.4380165289256191E+37</v>
      </c>
      <c r="O43" s="89">
        <f t="shared" si="124"/>
        <v>7.4380165289256191E+37</v>
      </c>
      <c r="P43" s="89">
        <f t="shared" si="124"/>
        <v>7.4380165289256191E+37</v>
      </c>
      <c r="Q43" s="47" t="s">
        <v>27</v>
      </c>
      <c r="R43" s="108">
        <f>MIN(1E+37*(R35/1.1)^2,$V44*6.023E+23/0.00000000000016*10/15)</f>
        <v>7.5287499999999999E+37</v>
      </c>
      <c r="S43" s="108">
        <f>MIN(1E+37*(S35/1.1)^2,$V44*6.023E+23/0.00000000000016*10/15)</f>
        <v>7.5287499999999999E+37</v>
      </c>
      <c r="T43" s="108">
        <f>MIN(1E+37*(T35/1.1)^2,$V44*6.023E+23/0.00000000000016*10/15)</f>
        <v>7.5287499999999999E+37</v>
      </c>
      <c r="U43" s="108">
        <f>MIN(1E+37*(U35/1.1)^2,$V44*6.023E+23/0.00000000000016*10/15)</f>
        <v>7.5287499999999999E+37</v>
      </c>
      <c r="V43" s="4"/>
      <c r="W43"/>
      <c r="X43"/>
      <c r="Y43"/>
      <c r="Z43"/>
      <c r="AA43"/>
    </row>
    <row r="44" spans="1:30" s="4" customFormat="1" x14ac:dyDescent="0.2">
      <c r="A44" s="45" t="s">
        <v>76</v>
      </c>
      <c r="B44" s="46" t="s">
        <v>77</v>
      </c>
      <c r="C44" s="61">
        <f>C43/6.02E+23*0.00000000000016*15/10</f>
        <v>29.653222042228386</v>
      </c>
      <c r="D44" s="61">
        <f t="shared" ref="D44:H44" si="125">D43/6.02E+23*0.00000000000016*15/10</f>
        <v>29.653222042228386</v>
      </c>
      <c r="E44" s="61">
        <f t="shared" si="125"/>
        <v>29.653222042228386</v>
      </c>
      <c r="F44" s="61">
        <f t="shared" si="125"/>
        <v>30.014950166112961</v>
      </c>
      <c r="G44" s="61">
        <f t="shared" si="125"/>
        <v>29.653222042228386</v>
      </c>
      <c r="H44" s="61">
        <f t="shared" si="125"/>
        <v>30.014950166112961</v>
      </c>
      <c r="I44" s="78">
        <f>I43/6.02E+23*0.00000000000016*15/10</f>
        <v>29.653222042228386</v>
      </c>
      <c r="J44" s="78">
        <f>J43/6.02E+23*0.00000000000016*15/10</f>
        <v>29.653222042228386</v>
      </c>
      <c r="K44" s="78">
        <f t="shared" ref="K44:L44" si="126">K43/6.02E+23*0.00000000000016*15/10</f>
        <v>29.653222042228386</v>
      </c>
      <c r="L44" s="78">
        <f t="shared" si="126"/>
        <v>29.653222042228386</v>
      </c>
      <c r="M44" s="93">
        <f>M43/6.02E+23*0.00000000000016*15/10</f>
        <v>29.653222042228386</v>
      </c>
      <c r="N44" s="93">
        <f t="shared" ref="N44:P44" si="127">N43/6.02E+23*0.00000000000016*15/10</f>
        <v>29.653222042228386</v>
      </c>
      <c r="O44" s="93">
        <f t="shared" si="127"/>
        <v>29.653222042228386</v>
      </c>
      <c r="P44" s="93">
        <f t="shared" si="127"/>
        <v>29.653222042228386</v>
      </c>
      <c r="Q44" s="47" t="s">
        <v>79</v>
      </c>
      <c r="R44" s="111">
        <f>R43/6.02E+23*0.00000000000016*15/10</f>
        <v>30.014950166112961</v>
      </c>
      <c r="S44" s="111">
        <f>S43/6.02E+23*0.00000000000016*15/10</f>
        <v>30.014950166112961</v>
      </c>
      <c r="T44" s="111">
        <f t="shared" ref="T44:U44" si="128">T43/6.02E+23*0.00000000000016*15/10</f>
        <v>30.014950166112961</v>
      </c>
      <c r="U44" s="111">
        <f t="shared" si="128"/>
        <v>30.014950166112961</v>
      </c>
      <c r="V44" s="137">
        <v>30</v>
      </c>
      <c r="W44" t="s">
        <v>171</v>
      </c>
      <c r="X44"/>
      <c r="Y44"/>
      <c r="Z44"/>
      <c r="AA44"/>
    </row>
    <row r="45" spans="1:30" s="4" customFormat="1" x14ac:dyDescent="0.2">
      <c r="A45" s="45" t="s">
        <v>110</v>
      </c>
      <c r="B45" s="46" t="s">
        <v>111</v>
      </c>
      <c r="C45" s="61">
        <v>-0.34</v>
      </c>
      <c r="D45" s="68"/>
      <c r="E45" s="68"/>
      <c r="F45" s="68"/>
      <c r="G45" s="68"/>
      <c r="H45" s="68"/>
      <c r="I45" s="78"/>
      <c r="J45" s="78"/>
      <c r="K45" s="78"/>
      <c r="L45" s="78"/>
      <c r="M45" s="93"/>
      <c r="N45" s="93"/>
      <c r="O45" s="93"/>
      <c r="P45" s="94"/>
      <c r="Q45" s="45"/>
      <c r="R45" s="106"/>
      <c r="S45" s="111"/>
      <c r="T45" s="111"/>
      <c r="U45" s="111"/>
      <c r="V45" s="48"/>
      <c r="W45"/>
      <c r="X45"/>
      <c r="Y45"/>
      <c r="Z45"/>
      <c r="AA45"/>
    </row>
    <row r="46" spans="1:30" s="48" customFormat="1" x14ac:dyDescent="0.2">
      <c r="A46" s="66" t="s">
        <v>35</v>
      </c>
      <c r="B46" s="67" t="s">
        <v>177</v>
      </c>
      <c r="C46" s="60">
        <v>7.2410000000000002E-2</v>
      </c>
      <c r="D46" s="24">
        <v>2.707E-2</v>
      </c>
      <c r="E46" s="24">
        <v>1.5134999999999999E-2</v>
      </c>
      <c r="F46" s="24">
        <v>3.4207000000000001E-2</v>
      </c>
      <c r="G46" s="24">
        <v>1.5606E-2</v>
      </c>
      <c r="H46" s="24">
        <v>2.4879999999999999E-2</v>
      </c>
      <c r="I46" s="74"/>
      <c r="J46" s="74">
        <v>2.9090000000000001E-3</v>
      </c>
      <c r="K46" s="74">
        <v>1.748E-3</v>
      </c>
      <c r="L46" s="74">
        <v>1.5363E-3</v>
      </c>
      <c r="M46" s="89">
        <v>1.5969999999999999E-3</v>
      </c>
      <c r="N46" s="89">
        <v>5.1999999999999995E-4</v>
      </c>
      <c r="O46" s="89">
        <v>2.7559999999999998E-4</v>
      </c>
      <c r="P46" s="90">
        <v>2.722E-4</v>
      </c>
      <c r="Q46" s="45"/>
      <c r="R46" s="108"/>
      <c r="S46" s="108"/>
      <c r="T46" s="108"/>
      <c r="U46" s="108"/>
      <c r="V46" s="4"/>
      <c r="W46"/>
      <c r="X46"/>
      <c r="Y46"/>
      <c r="Z46"/>
      <c r="AA46"/>
    </row>
    <row r="47" spans="1:30" s="4" customFormat="1" x14ac:dyDescent="0.2">
      <c r="A47" s="66" t="s">
        <v>36</v>
      </c>
      <c r="B47" s="67" t="s">
        <v>177</v>
      </c>
      <c r="C47" s="60">
        <v>2.0240000000000001E-2</v>
      </c>
      <c r="D47" s="24">
        <v>8.4679999999999998E-3</v>
      </c>
      <c r="E47" s="24">
        <v>5.2550000000000001E-3</v>
      </c>
      <c r="F47" s="24">
        <v>1.1469999999999999E-2</v>
      </c>
      <c r="G47" s="24">
        <v>5.6220000000000003E-3</v>
      </c>
      <c r="H47" s="24">
        <v>9.4004999999999991E-3</v>
      </c>
      <c r="I47" s="74"/>
      <c r="J47" s="74">
        <v>1.4909999999999999E-3</v>
      </c>
      <c r="K47" s="74">
        <v>1.01128E-3</v>
      </c>
      <c r="L47" s="74">
        <v>8.1899999999999996E-4</v>
      </c>
      <c r="M47" s="89">
        <v>9.8200000000000002E-4</v>
      </c>
      <c r="N47" s="89">
        <v>4.3659999999999999E-4</v>
      </c>
      <c r="O47" s="89">
        <v>2.9690000000000001E-4</v>
      </c>
      <c r="P47" s="90">
        <v>2.5399999999999999E-4</v>
      </c>
      <c r="Q47" s="45" t="s">
        <v>36</v>
      </c>
      <c r="R47" s="108"/>
      <c r="S47" s="108"/>
      <c r="T47" s="108"/>
      <c r="U47" s="108"/>
      <c r="W47"/>
      <c r="X47"/>
      <c r="Y47"/>
      <c r="Z47"/>
      <c r="AA47"/>
    </row>
    <row r="48" spans="1:30" s="4" customFormat="1" x14ac:dyDescent="0.2">
      <c r="A48" s="66" t="s">
        <v>199</v>
      </c>
      <c r="B48" s="67" t="s">
        <v>177</v>
      </c>
      <c r="C48" s="60">
        <v>4.0460000000000003E-2</v>
      </c>
      <c r="D48" s="24">
        <v>1.585E-2</v>
      </c>
      <c r="E48" s="24">
        <v>9.1310000000000002E-3</v>
      </c>
      <c r="F48" s="24">
        <v>2.0639999999999999E-2</v>
      </c>
      <c r="G48" s="24">
        <v>9.7219999999999997E-3</v>
      </c>
      <c r="H48" s="24">
        <v>1.5740000000000001E-2</v>
      </c>
      <c r="I48" s="74"/>
      <c r="J48" s="74">
        <v>2.0417E-3</v>
      </c>
      <c r="K48" s="74">
        <v>1.3408999999999999E-3</v>
      </c>
      <c r="L48" s="74">
        <v>1.1178500000000001E-3</v>
      </c>
      <c r="M48" s="89">
        <v>1.2329999999999999E-3</v>
      </c>
      <c r="N48" s="89">
        <v>4.6200000000000001E-4</v>
      </c>
      <c r="O48" s="89">
        <v>2.7720000000000002E-4</v>
      </c>
      <c r="P48" s="90">
        <v>2.5609999999999999E-4</v>
      </c>
      <c r="Q48" s="45"/>
      <c r="R48" s="108"/>
      <c r="S48" s="108"/>
      <c r="T48" s="108"/>
      <c r="U48" s="108"/>
      <c r="W48"/>
      <c r="X48"/>
      <c r="Y48"/>
      <c r="Z48"/>
      <c r="AA48"/>
    </row>
    <row r="49" spans="1:27" s="3" customFormat="1" x14ac:dyDescent="0.2">
      <c r="A49" s="165" t="s">
        <v>104</v>
      </c>
      <c r="B49" s="166" t="s">
        <v>108</v>
      </c>
      <c r="C49" s="62">
        <f>2*1/1.66</f>
        <v>1.2048192771084338</v>
      </c>
      <c r="D49" s="167">
        <f>1*1/1.84</f>
        <v>0.54347826086956519</v>
      </c>
      <c r="E49" s="167">
        <f>0.33</f>
        <v>0.33</v>
      </c>
      <c r="F49" s="167">
        <f>2/1.45</f>
        <v>1.3793103448275863</v>
      </c>
      <c r="G49" s="167">
        <f>18/24</f>
        <v>0.75</v>
      </c>
      <c r="H49" s="167">
        <v>2.4</v>
      </c>
      <c r="I49" s="168">
        <v>0</v>
      </c>
      <c r="J49" s="168">
        <v>3</v>
      </c>
      <c r="K49" s="168">
        <v>2</v>
      </c>
      <c r="L49" s="168">
        <v>5</v>
      </c>
      <c r="M49" s="169">
        <v>10</v>
      </c>
      <c r="N49" s="169">
        <v>5</v>
      </c>
      <c r="O49" s="169">
        <v>3</v>
      </c>
      <c r="P49" s="170">
        <v>5</v>
      </c>
      <c r="Q49" s="165" t="s">
        <v>169</v>
      </c>
      <c r="R49" s="171">
        <v>1</v>
      </c>
      <c r="S49" s="171">
        <v>1</v>
      </c>
      <c r="T49" s="171">
        <v>1</v>
      </c>
      <c r="U49" s="171">
        <v>1</v>
      </c>
      <c r="V49" s="3" t="s">
        <v>174</v>
      </c>
      <c r="W49" s="3">
        <f>SUM(C49:U49)</f>
        <v>43.607607882805581</v>
      </c>
    </row>
    <row r="50" spans="1:27" s="4" customFormat="1" x14ac:dyDescent="0.2">
      <c r="A50" s="45" t="s">
        <v>105</v>
      </c>
      <c r="B50" s="16" t="s">
        <v>109</v>
      </c>
      <c r="C50" s="62">
        <v>2</v>
      </c>
      <c r="D50" s="49">
        <v>1</v>
      </c>
      <c r="E50" s="49">
        <v>0.66</v>
      </c>
      <c r="F50" s="49">
        <v>2</v>
      </c>
      <c r="G50" s="49">
        <v>1</v>
      </c>
      <c r="H50" s="49">
        <v>3</v>
      </c>
      <c r="I50" s="79">
        <v>0</v>
      </c>
      <c r="J50" s="79">
        <v>3</v>
      </c>
      <c r="K50" s="79">
        <v>2</v>
      </c>
      <c r="L50" s="79">
        <v>5</v>
      </c>
      <c r="M50" s="95">
        <v>10</v>
      </c>
      <c r="N50" s="95">
        <v>5</v>
      </c>
      <c r="O50" s="95">
        <v>3</v>
      </c>
      <c r="P50" s="96">
        <v>5</v>
      </c>
      <c r="Q50" s="45" t="s">
        <v>170</v>
      </c>
      <c r="R50" s="112">
        <v>0</v>
      </c>
      <c r="S50" s="113">
        <v>0</v>
      </c>
      <c r="T50" s="113">
        <v>0</v>
      </c>
      <c r="U50" s="113">
        <v>0</v>
      </c>
      <c r="V50" t="s">
        <v>175</v>
      </c>
      <c r="W50" s="3">
        <f>SUM(C50:U50)</f>
        <v>42.66</v>
      </c>
      <c r="X50"/>
      <c r="Y50"/>
      <c r="Z50"/>
      <c r="AA50"/>
    </row>
    <row r="51" spans="1:27" s="1" customFormat="1" x14ac:dyDescent="0.2">
      <c r="A51" s="21" t="s">
        <v>202</v>
      </c>
      <c r="B51" s="6" t="s">
        <v>78</v>
      </c>
      <c r="C51" s="63">
        <f>C44*C49*24*3600*0.000001</f>
        <v>3.086793234275341</v>
      </c>
      <c r="D51" s="44">
        <f>D44*D49*24*3600*0.000001</f>
        <v>1.3924121654611588</v>
      </c>
      <c r="E51" s="44">
        <f>E44*E49*24*3600*0.000001</f>
        <v>0.84547266686801581</v>
      </c>
      <c r="F51" s="44">
        <f t="shared" ref="F51:H51" si="129">F44*F49*24*3600*0.000001</f>
        <v>3.5769540611753934</v>
      </c>
      <c r="G51" s="44">
        <f t="shared" si="129"/>
        <v>1.9215287883363992</v>
      </c>
      <c r="H51" s="44">
        <f t="shared" si="129"/>
        <v>6.2239000664451822</v>
      </c>
      <c r="I51" s="80">
        <f t="shared" ref="I51:P51" si="130">I44*I49*24*3600*0.000001</f>
        <v>0</v>
      </c>
      <c r="J51" s="80">
        <f t="shared" ref="J51" si="131">J44*J49*24*3600*0.000001</f>
        <v>7.6861151533455967</v>
      </c>
      <c r="K51" s="80">
        <f t="shared" si="130"/>
        <v>5.1240767688970656</v>
      </c>
      <c r="L51" s="80">
        <f t="shared" si="130"/>
        <v>12.810191922242661</v>
      </c>
      <c r="M51" s="97">
        <f t="shared" si="130"/>
        <v>25.620383844485321</v>
      </c>
      <c r="N51" s="97">
        <f t="shared" si="130"/>
        <v>12.810191922242661</v>
      </c>
      <c r="O51" s="97">
        <f t="shared" si="130"/>
        <v>7.6861151533455967</v>
      </c>
      <c r="P51" s="98">
        <f t="shared" si="130"/>
        <v>12.810191922242661</v>
      </c>
      <c r="Q51" s="45" t="s">
        <v>78</v>
      </c>
      <c r="R51" s="115">
        <f t="shared" ref="R51:U51" si="132">R44*R49*24*3600*0.000001</f>
        <v>2.59329169435216</v>
      </c>
      <c r="S51" s="115">
        <f t="shared" si="132"/>
        <v>2.59329169435216</v>
      </c>
      <c r="T51" s="115">
        <f t="shared" si="132"/>
        <v>2.59329169435216</v>
      </c>
      <c r="U51" s="115">
        <f t="shared" si="132"/>
        <v>2.59329169435216</v>
      </c>
      <c r="V51"/>
      <c r="W51"/>
      <c r="X51"/>
      <c r="Y51"/>
      <c r="Z51"/>
      <c r="AA51"/>
    </row>
    <row r="52" spans="1:27" s="1" customFormat="1" x14ac:dyDescent="0.2">
      <c r="A52" s="21"/>
      <c r="B52" s="6"/>
      <c r="C52" s="63"/>
      <c r="D52" s="44"/>
      <c r="E52" s="44"/>
      <c r="F52" s="44"/>
      <c r="G52" s="44"/>
      <c r="H52" s="44"/>
      <c r="I52" s="80"/>
      <c r="J52" s="80"/>
      <c r="K52" s="80"/>
      <c r="L52" s="80"/>
      <c r="M52" s="97"/>
      <c r="N52" s="97"/>
      <c r="O52" s="97"/>
      <c r="P52" s="98"/>
      <c r="Q52" s="45"/>
      <c r="R52" s="138"/>
      <c r="S52" s="115"/>
      <c r="T52" s="115"/>
      <c r="U52" s="115"/>
      <c r="V52"/>
      <c r="W52"/>
      <c r="X52"/>
      <c r="Y52"/>
      <c r="Z52"/>
      <c r="AA52"/>
    </row>
    <row r="53" spans="1:27" x14ac:dyDescent="0.2">
      <c r="A53" s="15" t="s">
        <v>37</v>
      </c>
      <c r="B53" s="6" t="s">
        <v>53</v>
      </c>
      <c r="C53" s="64">
        <f>2*C19*C17*C21/C20</f>
        <v>2.0290766428857294</v>
      </c>
      <c r="D53" s="25">
        <f>2*D19*D17*D21/D20</f>
        <v>5.559725627879688</v>
      </c>
      <c r="E53" s="25">
        <f>2*E19*E17*E21/E20</f>
        <v>10.470706606170424</v>
      </c>
      <c r="F53" s="25">
        <f t="shared" ref="F53:H53" si="133">2*F19*F17*F21/F20</f>
        <v>2.6428711605362079</v>
      </c>
      <c r="G53" s="25">
        <f t="shared" si="133"/>
        <v>5.9526767820137003</v>
      </c>
      <c r="H53" s="25">
        <f t="shared" si="133"/>
        <v>2.2561069258854705</v>
      </c>
      <c r="I53" s="81">
        <f t="shared" ref="I53:P53" si="134">2*I19*I17*I21/I20</f>
        <v>4.8960838621176048</v>
      </c>
      <c r="J53" s="81">
        <f t="shared" ref="J53" si="135">2*J19*J17*J21/J20</f>
        <v>11.375852737463626</v>
      </c>
      <c r="K53" s="81">
        <f t="shared" si="134"/>
        <v>20.2024893471106</v>
      </c>
      <c r="L53" s="81">
        <f t="shared" si="134"/>
        <v>11.230820646726759</v>
      </c>
      <c r="M53" s="99">
        <f t="shared" si="134"/>
        <v>3.1649677761372406</v>
      </c>
      <c r="N53" s="99">
        <f t="shared" si="134"/>
        <v>8.8849212141336693</v>
      </c>
      <c r="O53" s="99">
        <f t="shared" si="134"/>
        <v>16.860585543074016</v>
      </c>
      <c r="P53" s="100">
        <f t="shared" si="134"/>
        <v>12.431144538998797</v>
      </c>
      <c r="Q53" s="32" t="s">
        <v>37</v>
      </c>
      <c r="R53" s="116">
        <f>2*R19*R17*R21/R20</f>
        <v>1.1420861797850044</v>
      </c>
      <c r="S53" s="116">
        <f>2*S19*S17*S21/S20</f>
        <v>2.4101039886560236</v>
      </c>
      <c r="T53" s="116">
        <f>2*T19*T17*T21/T20</f>
        <v>4.9724578155995172</v>
      </c>
      <c r="U53" s="116">
        <f>2*U19*U17*U21/U20</f>
        <v>3.4365764961273051</v>
      </c>
    </row>
    <row r="54" spans="1:27" x14ac:dyDescent="0.2">
      <c r="A54" s="15" t="s">
        <v>51</v>
      </c>
      <c r="B54" s="6"/>
      <c r="C54" s="65">
        <f>(C43*nbarn)*C49*24*3600*C53*HMS_Acc*HMS_ddelta*C21*(C48)*DeltaT</f>
        <v>100539.29744153417</v>
      </c>
      <c r="D54" s="65">
        <f>(D43*nbarn)*D49*24*3600*D53*HMS_Acc*HMS_ddelta*D21*(D48)*DeltaT</f>
        <v>100586.33060430799</v>
      </c>
      <c r="E54" s="65">
        <f>(E43*nbarn)*E49*24*3600*E53*HMS_Acc*HMS_ddelta*E21*(E48)*DeltaT</f>
        <v>100273.89853958784</v>
      </c>
      <c r="F54" s="65">
        <f>(F43*nbarn)*F49*24*3600*F53*HMS_Acc*HMS_ddelta*F21*(F48)*DeltaT</f>
        <v>101379.22016405688</v>
      </c>
      <c r="G54" s="65">
        <f>(G43*nbarn)*G49*24*3600*G53*HMS_Acc*HMS_ddelta*G21*(G48)*DeltaT</f>
        <v>104564.40168455157</v>
      </c>
      <c r="H54" s="65">
        <f>(H43*nbarn)*H49*24*3600*H53*HMS_Acc*HMS_ddelta*H21*(H48)*DeltaT</f>
        <v>108304.40861521871</v>
      </c>
      <c r="I54" s="82">
        <f t="shared" ref="I54:R54" si="136">(I43*nbarn)*I49*24*3600*I53*HRS_Acc*HRS_ddelta*I21*(I46+I47)*DeltaT/2</f>
        <v>0</v>
      </c>
      <c r="J54" s="82">
        <f t="shared" ref="J54" si="137">(J43*nbarn)*J49*24*3600*J53*HRS_Acc*HRS_ddelta*J21*(J46+J47)*DeltaT/2</f>
        <v>112542.49242867176</v>
      </c>
      <c r="K54" s="82">
        <f t="shared" si="136"/>
        <v>119232.06083951943</v>
      </c>
      <c r="L54" s="82">
        <f t="shared" si="136"/>
        <v>111009.21948256607</v>
      </c>
      <c r="M54" s="101">
        <f t="shared" si="136"/>
        <v>23510.600603648378</v>
      </c>
      <c r="N54" s="101">
        <f t="shared" si="136"/>
        <v>25912.599641806271</v>
      </c>
      <c r="O54" s="101">
        <f t="shared" si="136"/>
        <v>26923.302294485286</v>
      </c>
      <c r="P54" s="102">
        <f t="shared" si="136"/>
        <v>26376.090873535952</v>
      </c>
      <c r="Q54" s="33" t="s">
        <v>51</v>
      </c>
      <c r="R54" s="114">
        <f t="shared" si="136"/>
        <v>0</v>
      </c>
      <c r="S54" s="114"/>
      <c r="T54" s="114"/>
      <c r="U54" s="114"/>
    </row>
    <row r="55" spans="1:27" s="144" customFormat="1" ht="17" thickBot="1" x14ac:dyDescent="0.25">
      <c r="A55" s="139" t="s">
        <v>173</v>
      </c>
      <c r="B55" s="140" t="s">
        <v>172</v>
      </c>
      <c r="C55" s="141">
        <f>C49+C50</f>
        <v>3.2048192771084336</v>
      </c>
      <c r="D55" s="141">
        <f t="shared" ref="D55:H55" si="138">D49+D50</f>
        <v>1.5434782608695652</v>
      </c>
      <c r="E55" s="141">
        <f t="shared" si="138"/>
        <v>0.99</v>
      </c>
      <c r="F55" s="141">
        <f t="shared" si="138"/>
        <v>3.3793103448275863</v>
      </c>
      <c r="G55" s="141">
        <f t="shared" si="138"/>
        <v>1.75</v>
      </c>
      <c r="H55" s="141">
        <f t="shared" si="138"/>
        <v>5.4</v>
      </c>
      <c r="I55" s="142">
        <f>I49+I50</f>
        <v>0</v>
      </c>
      <c r="J55" s="142">
        <f>J49+J50</f>
        <v>6</v>
      </c>
      <c r="K55" s="142">
        <f t="shared" ref="K55:U55" si="139">K49+K50</f>
        <v>4</v>
      </c>
      <c r="L55" s="142">
        <f t="shared" si="139"/>
        <v>10</v>
      </c>
      <c r="M55" s="143">
        <f t="shared" si="139"/>
        <v>20</v>
      </c>
      <c r="N55" s="143">
        <f t="shared" si="139"/>
        <v>10</v>
      </c>
      <c r="O55" s="143">
        <f t="shared" si="139"/>
        <v>6</v>
      </c>
      <c r="P55" s="143">
        <f t="shared" si="139"/>
        <v>10</v>
      </c>
      <c r="Q55" s="144" t="str">
        <f>A55</f>
        <v>LH2+LD2</v>
      </c>
      <c r="R55" s="145">
        <f t="shared" si="139"/>
        <v>1</v>
      </c>
      <c r="S55" s="145">
        <f t="shared" si="139"/>
        <v>1</v>
      </c>
      <c r="T55" s="145">
        <f t="shared" si="139"/>
        <v>1</v>
      </c>
      <c r="U55" s="145">
        <f t="shared" si="139"/>
        <v>1</v>
      </c>
      <c r="V55" s="144" t="s">
        <v>178</v>
      </c>
      <c r="W55" s="144">
        <f>SUM(C55:U55)</f>
        <v>86.267607882805578</v>
      </c>
    </row>
    <row r="56" spans="1:27" ht="17" thickBot="1" x14ac:dyDescent="0.25">
      <c r="A56" s="28" t="s">
        <v>52</v>
      </c>
      <c r="B56" s="29"/>
      <c r="C56" s="154" t="str">
        <f>CONCATENATE("(x=0.36) Total=  ",FIXED(SUM(C49:H50),2),"  PAC Days")</f>
        <v>(x=0.36) Total=  16.27  PAC Days</v>
      </c>
      <c r="D56" s="155"/>
      <c r="E56" s="155"/>
      <c r="F56" s="155"/>
      <c r="G56" s="155"/>
      <c r="H56" s="155"/>
      <c r="I56" s="156" t="str">
        <f>CONCATENATE("(x=0.50) Total=  ",SUM(I49:L50),"  PAC Days")</f>
        <v>(x=0.50) Total=  20  PAC Days</v>
      </c>
      <c r="J56" s="156"/>
      <c r="K56" s="157"/>
      <c r="L56" s="158" t="str">
        <f>CONCATENATE("(x=0.60) Total=  ",SUM(M49:P50),"  PAC Days")</f>
        <v>(x=0.60) Total=  46  PAC Days</v>
      </c>
      <c r="M56" s="159"/>
      <c r="N56" s="159"/>
      <c r="O56" s="160"/>
      <c r="P56" s="31" t="s">
        <v>52</v>
      </c>
      <c r="Q56" s="161" t="str">
        <f>CONCATENATE("(x=0.25) Total=  ",SUM(R49:U50),"  PAC Days")</f>
        <v>(x=0.25) Total=  4  PAC Days</v>
      </c>
      <c r="R56" s="162"/>
      <c r="S56" s="162"/>
      <c r="T56" s="163"/>
    </row>
    <row r="57" spans="1:27" s="30" customFormat="1" x14ac:dyDescent="0.2">
      <c r="A57"/>
      <c r="B57"/>
      <c r="C57" s="3"/>
      <c r="D57"/>
      <c r="E57"/>
      <c r="F57"/>
      <c r="G57"/>
      <c r="H57"/>
      <c r="I57"/>
      <c r="J57"/>
      <c r="K57"/>
      <c r="L57">
        <v>0.72499999999999998</v>
      </c>
      <c r="M57"/>
      <c r="N57" s="1"/>
      <c r="O57"/>
      <c r="P57"/>
      <c r="Q57"/>
      <c r="R57"/>
      <c r="S57"/>
    </row>
    <row r="58" spans="1:27" x14ac:dyDescent="0.2">
      <c r="A58" t="s">
        <v>203</v>
      </c>
      <c r="C58" s="3">
        <f>SUM(C49:C50)+SUM(M49:M50)+SUM(R49:R50)+SUM(I49:I50)</f>
        <v>24.204819277108435</v>
      </c>
      <c r="E58" s="149" t="s">
        <v>204</v>
      </c>
      <c r="F58" s="149"/>
      <c r="G58" s="3">
        <f>SUM(D49:D50,F49:F50,J49:J50,N49:N50,S49:S50)</f>
        <v>21.92278860569715</v>
      </c>
      <c r="I58" s="149" t="s">
        <v>205</v>
      </c>
      <c r="J58" s="149"/>
      <c r="K58" s="3">
        <f>SUM(E49:E50,G49:H50,K49:L50,O49:P50,T49:U50)</f>
        <v>40.14</v>
      </c>
    </row>
    <row r="60" spans="1:27" x14ac:dyDescent="0.2">
      <c r="A60" t="s">
        <v>82</v>
      </c>
      <c r="B60" t="s">
        <v>53</v>
      </c>
      <c r="D60">
        <f>D17/(1+D17/MProton*(1-COS(ASIN(D25))))</f>
        <v>6.6136983035439654</v>
      </c>
      <c r="E60">
        <f>E17/(1+E17/MProton*(1-COS(ASIN(E25))))</f>
        <v>7.3634597651119744</v>
      </c>
      <c r="J60">
        <f>K17/(1+K17/MProton*(1-COS(ASIN(K25))))</f>
        <v>5.9376414776894597</v>
      </c>
      <c r="K60">
        <f>L17/(1+L17/MProton*(1-COS(ASIN(L25))))</f>
        <v>7.2859604669797822</v>
      </c>
      <c r="L60">
        <f>M17/(1+M17/MProton*(1-COS(ASIN(M25))))</f>
        <v>5.424187466769518</v>
      </c>
      <c r="M60">
        <f>N17/(1+N17/MProton*(1-COS(ASIN(N25))))</f>
        <v>6.0038347408190553</v>
      </c>
    </row>
    <row r="61" spans="1:27" x14ac:dyDescent="0.2">
      <c r="A61" t="s">
        <v>83</v>
      </c>
      <c r="B61" t="s">
        <v>48</v>
      </c>
      <c r="D61">
        <f>2*D60*D17*(1-COS(D26*PI()/180))</f>
        <v>3.5077608532385409</v>
      </c>
      <c r="E61">
        <f>2*E60*E17*(1-COS(E26*PI()/180))</f>
        <v>5.9939790412784548</v>
      </c>
      <c r="J61">
        <f>2*J60*M17*(1-COS(M26*PI()/180))</f>
        <v>1.998330693223197</v>
      </c>
      <c r="K61">
        <f>2*K60*N17*(1-COS(N26*PI()/180))</f>
        <v>5.6457222988319788</v>
      </c>
      <c r="L61">
        <f>2*L60*O17*(1-COS(O26*PI()/180))</f>
        <v>6.5677210448094705</v>
      </c>
      <c r="M61">
        <f>2*M60*P17*(1-COS(P26*PI()/180))</f>
        <v>5.4441774149119739</v>
      </c>
    </row>
    <row r="62" spans="1:27" x14ac:dyDescent="0.2">
      <c r="A62" t="s">
        <v>84</v>
      </c>
      <c r="B62" t="s">
        <v>53</v>
      </c>
      <c r="D62" s="37">
        <f>(D17-D60)+MProton</f>
        <v>2.8075075874202513</v>
      </c>
      <c r="E62" s="37">
        <f>(E17-E60)+MProton</f>
        <v>4.1323578605220188</v>
      </c>
      <c r="J62" s="37">
        <f>(K17-J60)+MProton</f>
        <v>5.5581761479445335</v>
      </c>
      <c r="K62" s="37">
        <f>(L17-K60)+MProton</f>
        <v>4.2098571586542111</v>
      </c>
      <c r="L62" s="37">
        <f>(M17-L60)+MProton</f>
        <v>1.9110822477957319</v>
      </c>
      <c r="M62" s="37">
        <f>(N17-M60)+MProton</f>
        <v>3.4173711501451614</v>
      </c>
    </row>
    <row r="63" spans="1:27" x14ac:dyDescent="0.2">
      <c r="A63" t="s">
        <v>85</v>
      </c>
      <c r="B63" t="s">
        <v>80</v>
      </c>
      <c r="D63">
        <f>SQRT(D62^2-MProton^2)</f>
        <v>2.6460710427768714</v>
      </c>
      <c r="E63">
        <f>SQRT(E62^2-MProton^2)</f>
        <v>4.0244222687757452</v>
      </c>
      <c r="J63">
        <f>SQRT(J62^2-MProton^2)</f>
        <v>5.4784044393946978</v>
      </c>
      <c r="K63">
        <f>SQRT(K62^2-MProton^2)</f>
        <v>4.1039603319564515</v>
      </c>
      <c r="L63">
        <f>SQRT(L62^2-MProton^2)</f>
        <v>1.6648809170147836</v>
      </c>
      <c r="M63">
        <f>SQRT(M62^2-MProton^2)</f>
        <v>3.2860338841595143</v>
      </c>
    </row>
    <row r="64" spans="1:27" x14ac:dyDescent="0.2">
      <c r="A64" t="s">
        <v>86</v>
      </c>
      <c r="B64" t="s">
        <v>39</v>
      </c>
      <c r="D64">
        <f>ASIN(D60*D25/D63)*180/PI()</f>
        <v>38.32138041306235</v>
      </c>
      <c r="E64">
        <f>ASIN(E60*E25/E63)*180/PI()</f>
        <v>30.207833901151226</v>
      </c>
      <c r="J64">
        <f>ASIN(J60*M25/J63)*180/PI()</f>
        <v>14.2976058855622</v>
      </c>
      <c r="K64">
        <f>ASIN(K60*N25/K63)*180/PI()</f>
        <v>32.033099913106085</v>
      </c>
      <c r="L64" t="e">
        <f>ASIN(L60*O25/L63)*180/PI()</f>
        <v>#NUM!</v>
      </c>
      <c r="M64">
        <f>ASIN(M60*P25/M63)*180/PI()</f>
        <v>31.983848692758521</v>
      </c>
    </row>
    <row r="66" spans="1:4" x14ac:dyDescent="0.2">
      <c r="A66" t="s">
        <v>200</v>
      </c>
    </row>
    <row r="67" spans="1:4" x14ac:dyDescent="0.2">
      <c r="A67" t="s">
        <v>201</v>
      </c>
      <c r="B67" s="149"/>
      <c r="C67" s="149"/>
      <c r="D67" s="149"/>
    </row>
    <row r="68" spans="1:4" x14ac:dyDescent="0.2">
      <c r="B68" s="149"/>
      <c r="C68" s="149"/>
      <c r="D68" s="149"/>
    </row>
    <row r="69" spans="1:4" x14ac:dyDescent="0.2">
      <c r="B69" s="149"/>
      <c r="C69" s="149"/>
      <c r="D69" s="149"/>
    </row>
    <row r="70" spans="1:4" x14ac:dyDescent="0.2">
      <c r="A70" s="164"/>
      <c r="B70" s="164"/>
      <c r="C70" s="164"/>
      <c r="D70" s="164"/>
    </row>
    <row r="71" spans="1:4" x14ac:dyDescent="0.2">
      <c r="A71" s="164"/>
      <c r="B71" s="164"/>
      <c r="C71" s="164"/>
      <c r="D71" s="164"/>
    </row>
    <row r="72" spans="1:4" x14ac:dyDescent="0.2">
      <c r="A72" s="164"/>
      <c r="B72" s="164"/>
      <c r="C72" s="164"/>
      <c r="D72" s="164"/>
    </row>
  </sheetData>
  <mergeCells count="14">
    <mergeCell ref="B67:D69"/>
    <mergeCell ref="A70:D72"/>
    <mergeCell ref="E58:F58"/>
    <mergeCell ref="I58:J58"/>
    <mergeCell ref="R14:T14"/>
    <mergeCell ref="C13:M13"/>
    <mergeCell ref="J2:L6"/>
    <mergeCell ref="D14:E14"/>
    <mergeCell ref="C56:H56"/>
    <mergeCell ref="I14:K14"/>
    <mergeCell ref="L14:O14"/>
    <mergeCell ref="I56:K56"/>
    <mergeCell ref="L56:O56"/>
    <mergeCell ref="Q56:T56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16"/>
  <sheetViews>
    <sheetView workbookViewId="0">
      <selection sqref="A1:O33"/>
    </sheetView>
  </sheetViews>
  <sheetFormatPr baseColWidth="10" defaultRowHeight="16" x14ac:dyDescent="0.2"/>
  <sheetData>
    <row r="16" spans="7:7" s="1" customFormat="1" x14ac:dyDescent="0.2">
      <c r="G16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E42" sqref="E42:E46"/>
    </sheetView>
  </sheetViews>
  <sheetFormatPr baseColWidth="10" defaultRowHeight="16" x14ac:dyDescent="0.2"/>
  <cols>
    <col min="1" max="1" width="10.83203125" style="144"/>
    <col min="3" max="5" width="18.5" customWidth="1"/>
  </cols>
  <sheetData>
    <row r="1" spans="1:5" x14ac:dyDescent="0.2">
      <c r="A1" s="144" t="s">
        <v>188</v>
      </c>
    </row>
    <row r="2" spans="1:5" x14ac:dyDescent="0.2">
      <c r="A2" s="144" t="s">
        <v>191</v>
      </c>
      <c r="B2">
        <v>0.5</v>
      </c>
      <c r="C2" t="s">
        <v>39</v>
      </c>
    </row>
    <row r="3" spans="1:5" x14ac:dyDescent="0.2">
      <c r="A3" s="139" t="s">
        <v>66</v>
      </c>
      <c r="B3" s="6"/>
      <c r="C3" s="34">
        <v>3</v>
      </c>
      <c r="D3" s="35">
        <v>4</v>
      </c>
      <c r="E3">
        <v>5</v>
      </c>
    </row>
    <row r="4" spans="1:5" x14ac:dyDescent="0.2">
      <c r="A4" s="139" t="s">
        <v>6</v>
      </c>
      <c r="B4" s="6" t="s">
        <v>23</v>
      </c>
      <c r="C4" s="50">
        <f>CHOOSE(C3,Accel2023!$C10,Accel2023!$C11,Accel2023!$C12,Accel2023!$C13,Accel2023!$C14)/1000</f>
        <v>6.39696971456525</v>
      </c>
      <c r="D4" s="50">
        <f>CHOOSE(D3,Accel2023!$C10,Accel2023!$C11,Accel2023!$C12,Accel2023!$C13,Accel2023!$C14)/1000</f>
        <v>8.4829058909642168</v>
      </c>
      <c r="E4" s="50">
        <f>CHOOSE(E3,Accel2023!$C10,Accel2023!$C11,Accel2023!$C12,Accel2023!$C13,Accel2023!$C14)/1000</f>
        <v>10.557517625633993</v>
      </c>
    </row>
    <row r="5" spans="1:5" x14ac:dyDescent="0.2">
      <c r="A5" s="139" t="s">
        <v>189</v>
      </c>
      <c r="B5" s="6" t="s">
        <v>190</v>
      </c>
      <c r="C5" s="51" t="str">
        <f>_xlfn.CONCAT("k'(GeV)@",FIXED(C4,1))</f>
        <v>k'(GeV)@6.4</v>
      </c>
      <c r="D5" s="51" t="str">
        <f t="shared" ref="D5:E5" si="0">_xlfn.CONCAT("k'(GeV)@",FIXED(D4,1))</f>
        <v>k'(GeV)@8.5</v>
      </c>
      <c r="E5" s="51" t="str">
        <f t="shared" si="0"/>
        <v>k'(GeV)@10.6</v>
      </c>
    </row>
    <row r="6" spans="1:5" x14ac:dyDescent="0.2">
      <c r="A6" s="139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39">
        <f t="shared" ref="A7:A36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39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39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39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39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39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39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39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39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39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39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39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39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39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39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39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39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39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39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39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39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39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39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39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39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39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5" x14ac:dyDescent="0.2">
      <c r="A33" s="139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5" x14ac:dyDescent="0.2">
      <c r="A34" s="139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5" x14ac:dyDescent="0.2">
      <c r="A35" s="139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5" x14ac:dyDescent="0.2">
      <c r="A36" s="139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41" spans="1:5" x14ac:dyDescent="0.2">
      <c r="A41" s="144" t="s">
        <v>194</v>
      </c>
      <c r="B41" t="s">
        <v>193</v>
      </c>
      <c r="E41" t="s">
        <v>192</v>
      </c>
    </row>
    <row r="42" spans="1:5" x14ac:dyDescent="0.2">
      <c r="A42" s="146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5" x14ac:dyDescent="0.2">
      <c r="A43" s="146">
        <f>1+'DVCS-Kin'!MProton*(1/$E$4-1/E43)</f>
        <v>0.93548287311075795</v>
      </c>
      <c r="B43">
        <f t="shared" ref="B43:B46" si="3">ACOS(A43)</f>
        <v>0.361173252206201</v>
      </c>
      <c r="E43">
        <v>6.117</v>
      </c>
    </row>
    <row r="44" spans="1:5" x14ac:dyDescent="0.2">
      <c r="A44" s="146">
        <f>1+'DVCS-Kin'!MProton*(1/$E$4-1/E44)</f>
        <v>0.93321812451613884</v>
      </c>
      <c r="B44">
        <f t="shared" si="3"/>
        <v>0.36752879291765628</v>
      </c>
      <c r="E44">
        <v>6.0279999999999996</v>
      </c>
    </row>
    <row r="45" spans="1:5" x14ac:dyDescent="0.2">
      <c r="A45" s="146">
        <f>1+'DVCS-Kin'!MProton*(1/$E$4-1/E45)</f>
        <v>0.91645683023027891</v>
      </c>
      <c r="B45">
        <f t="shared" si="3"/>
        <v>0.41166259363405389</v>
      </c>
      <c r="E45">
        <v>5.4420000000000002</v>
      </c>
    </row>
    <row r="46" spans="1:5" x14ac:dyDescent="0.2">
      <c r="A46" s="146">
        <f>1+'DVCS-Kin'!MProton*(1/$E$4-1/E46)</f>
        <v>0.90943348299559024</v>
      </c>
      <c r="B46">
        <f t="shared" si="3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Accel2023</vt:lpstr>
      <vt:lpstr>DVCS-Kin</vt:lpstr>
      <vt:lpstr>Cross Sections</vt:lpstr>
      <vt:lpstr>DIS</vt:lpstr>
      <vt:lpstr>El Kin</vt:lpstr>
      <vt:lpstr>thq_vs_xBj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HMS_Acc</vt:lpstr>
      <vt:lpstr>HMS_ddelta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2023-06-05T18:34:12Z</dcterms:modified>
</cp:coreProperties>
</file>