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NPS/2023-run/"/>
    </mc:Choice>
  </mc:AlternateContent>
  <xr:revisionPtr revIDLastSave="1198" documentId="8_{AC3EBA11-9AF7-704D-B22F-A49FC61A1E77}" xr6:coauthVersionLast="47" xr6:coauthVersionMax="47" xr10:uidLastSave="{DB833C10-7FD7-B44A-A401-7ED3C40AB8B9}"/>
  <bookViews>
    <workbookView xWindow="10900" yWindow="500" windowWidth="23800" windowHeight="175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alphaQED">'DVCS-Kin'!$G$2</definedName>
    <definedName name="C_5">'DVCS-Kin'!$G$64</definedName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barcSq">'DVCS-Kin'!$G$10</definedName>
    <definedName name="HMS_Acc">'DVCS-Kin'!$C$6</definedName>
    <definedName name="HMS_ddelta">'DVCS-Kin'!$C$7</definedName>
    <definedName name="HMS66_">'DVCS-Kin'!$G$7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'DVCS-Kin'!$A$1:$P$57</definedName>
    <definedName name="_xlnm.Print_Titles" localSheetId="2">'DVCS-Kin'!$A:$A</definedName>
    <definedName name="Sieve_Solid_angle">'DVCS-Kin'!$C$66</definedName>
    <definedName name="solver_adj" localSheetId="2" hidden="1">'DVCS-Kin'!$F$25:$F$27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itr" localSheetId="2" hidden="1">2147483647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opt" localSheetId="2" hidden="1">'DVCS-Kin'!$D$41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93" i="1" l="1"/>
  <c r="V91" i="1"/>
  <c r="V92" i="1"/>
  <c r="V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C92" i="1"/>
  <c r="C91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P51" i="1"/>
  <c r="P50" i="1"/>
  <c r="O51" i="1"/>
  <c r="O50" i="1"/>
  <c r="N51" i="1"/>
  <c r="N50" i="1"/>
  <c r="J39" i="3" l="1"/>
  <c r="A37" i="3"/>
  <c r="B37" i="3" s="1"/>
  <c r="I87" i="1"/>
  <c r="J87" i="1"/>
  <c r="K87" i="1"/>
  <c r="L87" i="1"/>
  <c r="M87" i="1"/>
  <c r="N87" i="1"/>
  <c r="O87" i="1"/>
  <c r="P87" i="1"/>
  <c r="R87" i="1"/>
  <c r="S87" i="1"/>
  <c r="T87" i="1"/>
  <c r="U87" i="1"/>
  <c r="D87" i="1"/>
  <c r="E87" i="1"/>
  <c r="F87" i="1"/>
  <c r="G87" i="1"/>
  <c r="H87" i="1"/>
  <c r="C87" i="1"/>
  <c r="C37" i="3" l="1"/>
  <c r="D37" i="3"/>
  <c r="E37" i="3"/>
  <c r="A38" i="3"/>
  <c r="D71" i="1"/>
  <c r="E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C71" i="1"/>
  <c r="A39" i="3" l="1"/>
  <c r="B39" i="3" s="1"/>
  <c r="B38" i="3"/>
  <c r="Q70" i="1"/>
  <c r="C38" i="3" l="1"/>
  <c r="D38" i="3"/>
  <c r="E38" i="3"/>
  <c r="C39" i="3"/>
  <c r="D39" i="3"/>
  <c r="E39" i="3"/>
  <c r="K50" i="1"/>
  <c r="I50" i="1"/>
  <c r="I51" i="1" s="1"/>
  <c r="H50" i="1"/>
  <c r="G50" i="1"/>
  <c r="F51" i="1"/>
  <c r="F50" i="1"/>
  <c r="D50" i="1"/>
  <c r="C50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H6" i="2"/>
  <c r="I6" i="2"/>
  <c r="H5" i="2"/>
  <c r="C66" i="1"/>
  <c r="K100" i="2"/>
  <c r="L100" i="2"/>
  <c r="M100" i="2"/>
  <c r="N100" i="2"/>
  <c r="O100" i="2"/>
  <c r="G10" i="1"/>
  <c r="G2" i="1"/>
  <c r="T6" i="2"/>
  <c r="P107" i="2"/>
  <c r="H107" i="2"/>
  <c r="P106" i="2"/>
  <c r="H106" i="2"/>
  <c r="P105" i="2"/>
  <c r="H105" i="2"/>
  <c r="P104" i="2"/>
  <c r="H104" i="2"/>
  <c r="P103" i="2"/>
  <c r="H103" i="2"/>
  <c r="P102" i="2"/>
  <c r="H102" i="2"/>
  <c r="P101" i="2"/>
  <c r="P100" i="2" s="1"/>
  <c r="H101" i="2"/>
  <c r="H100" i="2" s="1"/>
  <c r="P99" i="2"/>
  <c r="H99" i="2"/>
  <c r="P98" i="2"/>
  <c r="H98" i="2"/>
  <c r="P97" i="2"/>
  <c r="H97" i="2"/>
  <c r="P96" i="2"/>
  <c r="H96" i="2"/>
  <c r="P95" i="2"/>
  <c r="H95" i="2"/>
  <c r="P94" i="2"/>
  <c r="H94" i="2"/>
  <c r="P93" i="2"/>
  <c r="H93" i="2"/>
  <c r="P92" i="2"/>
  <c r="H92" i="2"/>
  <c r="P91" i="2"/>
  <c r="H91" i="2"/>
  <c r="P90" i="2"/>
  <c r="H90" i="2"/>
  <c r="P89" i="2"/>
  <c r="H89" i="2"/>
  <c r="P88" i="2"/>
  <c r="H88" i="2"/>
  <c r="P87" i="2"/>
  <c r="H87" i="2"/>
  <c r="P85" i="2"/>
  <c r="P86" i="2" s="1"/>
  <c r="H85" i="2"/>
  <c r="H86" i="2" s="1"/>
  <c r="P84" i="2"/>
  <c r="H84" i="2"/>
  <c r="P83" i="2"/>
  <c r="H83" i="2"/>
  <c r="P82" i="2"/>
  <c r="H82" i="2"/>
  <c r="P81" i="2"/>
  <c r="H81" i="2"/>
  <c r="P80" i="2"/>
  <c r="H80" i="2"/>
  <c r="P79" i="2"/>
  <c r="H79" i="2"/>
  <c r="P78" i="2"/>
  <c r="H78" i="2"/>
  <c r="P77" i="2"/>
  <c r="H77" i="2"/>
  <c r="P76" i="2"/>
  <c r="H76" i="2"/>
  <c r="P75" i="2"/>
  <c r="H75" i="2"/>
  <c r="P74" i="2"/>
  <c r="H74" i="2"/>
  <c r="P73" i="2"/>
  <c r="Q73" i="2" s="1"/>
  <c r="R73" i="2" s="1"/>
  <c r="H73" i="2"/>
  <c r="P72" i="2"/>
  <c r="H72" i="2"/>
  <c r="P71" i="2"/>
  <c r="Q71" i="2" s="1"/>
  <c r="R71" i="2" s="1"/>
  <c r="H71" i="2"/>
  <c r="P70" i="2"/>
  <c r="H70" i="2"/>
  <c r="P69" i="2"/>
  <c r="H69" i="2"/>
  <c r="P68" i="2"/>
  <c r="H68" i="2"/>
  <c r="P67" i="2"/>
  <c r="H67" i="2"/>
  <c r="P66" i="2"/>
  <c r="H66" i="2"/>
  <c r="P65" i="2"/>
  <c r="H65" i="2"/>
  <c r="P64" i="2"/>
  <c r="H64" i="2"/>
  <c r="P63" i="2"/>
  <c r="H63" i="2"/>
  <c r="P62" i="2"/>
  <c r="H62" i="2"/>
  <c r="P61" i="2"/>
  <c r="H61" i="2"/>
  <c r="P60" i="2"/>
  <c r="H60" i="2"/>
  <c r="P59" i="2"/>
  <c r="Q59" i="2" s="1"/>
  <c r="R59" i="2" s="1"/>
  <c r="H59" i="2"/>
  <c r="P58" i="2"/>
  <c r="H58" i="2"/>
  <c r="P57" i="2"/>
  <c r="H57" i="2"/>
  <c r="P56" i="2"/>
  <c r="H56" i="2"/>
  <c r="P55" i="2"/>
  <c r="Q55" i="2" s="1"/>
  <c r="R55" i="2" s="1"/>
  <c r="H55" i="2"/>
  <c r="P54" i="2"/>
  <c r="H54" i="2"/>
  <c r="P53" i="2"/>
  <c r="H53" i="2"/>
  <c r="P52" i="2"/>
  <c r="H52" i="2"/>
  <c r="P51" i="2"/>
  <c r="H51" i="2"/>
  <c r="P50" i="2"/>
  <c r="H50" i="2"/>
  <c r="P49" i="2"/>
  <c r="H49" i="2"/>
  <c r="P48" i="2"/>
  <c r="H48" i="2"/>
  <c r="P47" i="2"/>
  <c r="H47" i="2"/>
  <c r="P46" i="2"/>
  <c r="H46" i="2"/>
  <c r="P45" i="2"/>
  <c r="H45" i="2"/>
  <c r="P44" i="2"/>
  <c r="H44" i="2"/>
  <c r="P43" i="2"/>
  <c r="H43" i="2"/>
  <c r="P42" i="2"/>
  <c r="H42" i="2"/>
  <c r="P41" i="2"/>
  <c r="H41" i="2"/>
  <c r="P40" i="2"/>
  <c r="H40" i="2"/>
  <c r="P39" i="2"/>
  <c r="H39" i="2"/>
  <c r="P38" i="2"/>
  <c r="H38" i="2"/>
  <c r="P37" i="2"/>
  <c r="H37" i="2"/>
  <c r="P36" i="2"/>
  <c r="H36" i="2"/>
  <c r="P35" i="2"/>
  <c r="H35" i="2"/>
  <c r="P34" i="2"/>
  <c r="Q34" i="2" s="1"/>
  <c r="R34" i="2" s="1"/>
  <c r="H34" i="2"/>
  <c r="P33" i="2"/>
  <c r="H33" i="2"/>
  <c r="P32" i="2"/>
  <c r="H32" i="2"/>
  <c r="P31" i="2"/>
  <c r="H31" i="2"/>
  <c r="P30" i="2"/>
  <c r="Q30" i="2" s="1"/>
  <c r="R30" i="2" s="1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Q23" i="2" s="1"/>
  <c r="R23" i="2" s="1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P12" i="2"/>
  <c r="H12" i="2"/>
  <c r="P11" i="2"/>
  <c r="H11" i="2"/>
  <c r="P10" i="2"/>
  <c r="H10" i="2"/>
  <c r="P9" i="2"/>
  <c r="H9" i="2"/>
  <c r="P8" i="2"/>
  <c r="H8" i="2"/>
  <c r="P7" i="2"/>
  <c r="H7" i="2"/>
  <c r="P6" i="2"/>
  <c r="P5" i="2"/>
  <c r="S59" i="1" l="1"/>
  <c r="T59" i="1"/>
  <c r="U59" i="1"/>
  <c r="R59" i="1"/>
  <c r="Q48" i="2"/>
  <c r="R48" i="2" s="1"/>
  <c r="Q60" i="2"/>
  <c r="R60" i="2" s="1"/>
  <c r="Q68" i="2"/>
  <c r="R68" i="2" s="1"/>
  <c r="J59" i="1"/>
  <c r="Q44" i="2"/>
  <c r="R44" i="2" s="1"/>
  <c r="Q41" i="2"/>
  <c r="R41" i="2" s="1"/>
  <c r="Q52" i="2"/>
  <c r="R52" i="2" s="1"/>
  <c r="Q9" i="2"/>
  <c r="R9" i="2" s="1"/>
  <c r="Q81" i="2"/>
  <c r="R81" i="2" s="1"/>
  <c r="Q90" i="2"/>
  <c r="R90" i="2" s="1"/>
  <c r="Q98" i="2"/>
  <c r="R98" i="2" s="1"/>
  <c r="Q103" i="2"/>
  <c r="R103" i="2" s="1"/>
  <c r="Q107" i="2"/>
  <c r="R107" i="2" s="1"/>
  <c r="G59" i="1"/>
  <c r="N59" i="1"/>
  <c r="Q12" i="2"/>
  <c r="R12" i="2" s="1"/>
  <c r="Q16" i="2"/>
  <c r="R16" i="2" s="1"/>
  <c r="Q20" i="2"/>
  <c r="R20" i="2" s="1"/>
  <c r="Q28" i="2"/>
  <c r="R28" i="2" s="1"/>
  <c r="Q36" i="2"/>
  <c r="R36" i="2" s="1"/>
  <c r="Q88" i="2"/>
  <c r="R88" i="2" s="1"/>
  <c r="Q92" i="2"/>
  <c r="R92" i="2" s="1"/>
  <c r="Q17" i="2"/>
  <c r="R17" i="2" s="1"/>
  <c r="Q33" i="2"/>
  <c r="R33" i="2" s="1"/>
  <c r="Q37" i="2"/>
  <c r="R37" i="2" s="1"/>
  <c r="Q76" i="2"/>
  <c r="R76" i="2" s="1"/>
  <c r="Q80" i="2"/>
  <c r="R80" i="2" s="1"/>
  <c r="Q84" i="2"/>
  <c r="R84" i="2" s="1"/>
  <c r="Q93" i="2"/>
  <c r="R93" i="2" s="1"/>
  <c r="Q102" i="2"/>
  <c r="R102" i="2" s="1"/>
  <c r="Q25" i="2"/>
  <c r="R25" i="2" s="1"/>
  <c r="Q49" i="2"/>
  <c r="R49" i="2" s="1"/>
  <c r="Q57" i="2"/>
  <c r="R57" i="2" s="1"/>
  <c r="Q65" i="2"/>
  <c r="R65" i="2" s="1"/>
  <c r="Q69" i="2"/>
  <c r="R69" i="2" s="1"/>
  <c r="Q62" i="2"/>
  <c r="R62" i="2" s="1"/>
  <c r="Q66" i="2"/>
  <c r="R66" i="2" s="1"/>
  <c r="Q27" i="2"/>
  <c r="R27" i="2" s="1"/>
  <c r="Q74" i="2"/>
  <c r="R74" i="2" s="1"/>
  <c r="Q95" i="2"/>
  <c r="R95" i="2" s="1"/>
  <c r="Q99" i="2"/>
  <c r="R99" i="2" s="1"/>
  <c r="O59" i="1"/>
  <c r="M59" i="1"/>
  <c r="P59" i="1"/>
  <c r="F59" i="1"/>
  <c r="Q24" i="2"/>
  <c r="R24" i="2" s="1"/>
  <c r="Q31" i="2"/>
  <c r="R31" i="2" s="1"/>
  <c r="Q38" i="2"/>
  <c r="R38" i="2" s="1"/>
  <c r="Q45" i="2"/>
  <c r="R45" i="2" s="1"/>
  <c r="Q56" i="2"/>
  <c r="R56" i="2" s="1"/>
  <c r="Q63" i="2"/>
  <c r="R63" i="2" s="1"/>
  <c r="Q70" i="2"/>
  <c r="R70" i="2" s="1"/>
  <c r="Q77" i="2"/>
  <c r="R77" i="2" s="1"/>
  <c r="Q89" i="2"/>
  <c r="R89" i="2" s="1"/>
  <c r="Q96" i="2"/>
  <c r="R96" i="2" s="1"/>
  <c r="Q104" i="2"/>
  <c r="R104" i="2" s="1"/>
  <c r="E59" i="1"/>
  <c r="Q6" i="2"/>
  <c r="Q10" i="2"/>
  <c r="R10" i="2" s="1"/>
  <c r="Q35" i="2"/>
  <c r="R35" i="2" s="1"/>
  <c r="Q42" i="2"/>
  <c r="R42" i="2" s="1"/>
  <c r="Q67" i="2"/>
  <c r="R67" i="2" s="1"/>
  <c r="Q101" i="2"/>
  <c r="R101" i="2" s="1"/>
  <c r="D59" i="1"/>
  <c r="Q78" i="2"/>
  <c r="R78" i="2" s="1"/>
  <c r="Q85" i="2"/>
  <c r="R85" i="2" s="1"/>
  <c r="Q97" i="2"/>
  <c r="R97" i="2" s="1"/>
  <c r="Q105" i="2"/>
  <c r="R105" i="2" s="1"/>
  <c r="Q13" i="2"/>
  <c r="R13" i="2" s="1"/>
  <c r="Q21" i="2"/>
  <c r="R21" i="2" s="1"/>
  <c r="Q64" i="2"/>
  <c r="R64" i="2" s="1"/>
  <c r="Q75" i="2"/>
  <c r="R75" i="2" s="1"/>
  <c r="R6" i="2"/>
  <c r="Q7" i="2"/>
  <c r="R7" i="2" s="1"/>
  <c r="Q14" i="2"/>
  <c r="R14" i="2" s="1"/>
  <c r="Q32" i="2"/>
  <c r="R32" i="2" s="1"/>
  <c r="Q39" i="2"/>
  <c r="R39" i="2" s="1"/>
  <c r="Q46" i="2"/>
  <c r="R46" i="2" s="1"/>
  <c r="Q53" i="2"/>
  <c r="R53" i="2" s="1"/>
  <c r="Q11" i="2"/>
  <c r="R11" i="2" s="1"/>
  <c r="Q18" i="2"/>
  <c r="R18" i="2" s="1"/>
  <c r="Q43" i="2"/>
  <c r="R43" i="2" s="1"/>
  <c r="Q50" i="2"/>
  <c r="R50" i="2" s="1"/>
  <c r="Q82" i="2"/>
  <c r="R82" i="2" s="1"/>
  <c r="Q8" i="2"/>
  <c r="R8" i="2" s="1"/>
  <c r="Q15" i="2"/>
  <c r="R15" i="2" s="1"/>
  <c r="Q22" i="2"/>
  <c r="R22" i="2" s="1"/>
  <c r="Q29" i="2"/>
  <c r="R29" i="2" s="1"/>
  <c r="Q40" i="2"/>
  <c r="R40" i="2" s="1"/>
  <c r="Q47" i="2"/>
  <c r="R47" i="2" s="1"/>
  <c r="Q54" i="2"/>
  <c r="R54" i="2" s="1"/>
  <c r="Q61" i="2"/>
  <c r="R61" i="2" s="1"/>
  <c r="Q72" i="2"/>
  <c r="R72" i="2" s="1"/>
  <c r="Q79" i="2"/>
  <c r="R79" i="2" s="1"/>
  <c r="Q87" i="2"/>
  <c r="R87" i="2" s="1"/>
  <c r="Q94" i="2"/>
  <c r="R94" i="2" s="1"/>
  <c r="Q106" i="2"/>
  <c r="R106" i="2" s="1"/>
  <c r="C59" i="1"/>
  <c r="I59" i="1"/>
  <c r="Q19" i="2"/>
  <c r="R19" i="2" s="1"/>
  <c r="Q26" i="2"/>
  <c r="R26" i="2" s="1"/>
  <c r="Q51" i="2"/>
  <c r="R51" i="2" s="1"/>
  <c r="Q58" i="2"/>
  <c r="R58" i="2" s="1"/>
  <c r="Q83" i="2"/>
  <c r="R83" i="2" s="1"/>
  <c r="Q91" i="2"/>
  <c r="R91" i="2" s="1"/>
  <c r="H59" i="1"/>
  <c r="L59" i="1"/>
  <c r="K59" i="1"/>
  <c r="I57" i="1"/>
  <c r="H81" i="1"/>
  <c r="H80" i="1"/>
  <c r="M57" i="1"/>
  <c r="J17" i="1"/>
  <c r="J20" i="1"/>
  <c r="J32" i="1" s="1"/>
  <c r="J33" i="1" s="1"/>
  <c r="J34" i="1" s="1"/>
  <c r="J30" i="1"/>
  <c r="J44" i="1"/>
  <c r="J56" i="1"/>
  <c r="C58" i="1"/>
  <c r="G44" i="1"/>
  <c r="H44" i="1"/>
  <c r="C6" i="1"/>
  <c r="J45" i="1" l="1"/>
  <c r="J52" i="1" s="1"/>
  <c r="G58" i="1"/>
  <c r="J21" i="1"/>
  <c r="J35" i="1"/>
  <c r="K58" i="1"/>
  <c r="C57" i="1"/>
  <c r="J54" i="1" l="1"/>
  <c r="J55" i="1" s="1"/>
  <c r="J22" i="1"/>
  <c r="J60" i="1"/>
  <c r="J61" i="1" s="1"/>
  <c r="J62" i="1" s="1"/>
  <c r="J67" i="1" s="1"/>
  <c r="J70" i="1" s="1"/>
  <c r="J23" i="1"/>
  <c r="J24" i="1" s="1"/>
  <c r="J31" i="1" s="1"/>
  <c r="J26" i="1" l="1"/>
  <c r="J27" i="1" s="1"/>
  <c r="J28" i="1" s="1"/>
  <c r="J25" i="1"/>
  <c r="J29" i="1" l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7" i="1"/>
  <c r="W51" i="1"/>
  <c r="W50" i="1"/>
  <c r="Q56" i="1"/>
  <c r="M56" i="1"/>
  <c r="N56" i="1"/>
  <c r="O56" i="1"/>
  <c r="P56" i="1"/>
  <c r="R56" i="1"/>
  <c r="S56" i="1"/>
  <c r="T56" i="1"/>
  <c r="U56" i="1"/>
  <c r="K56" i="1"/>
  <c r="L56" i="1"/>
  <c r="I56" i="1"/>
  <c r="R44" i="1"/>
  <c r="T44" i="1"/>
  <c r="T45" i="1" s="1"/>
  <c r="U44" i="1"/>
  <c r="U45" i="1" s="1"/>
  <c r="S44" i="1"/>
  <c r="S45" i="1" s="1"/>
  <c r="F44" i="1"/>
  <c r="W56" i="1" l="1"/>
  <c r="R45" i="1"/>
  <c r="R52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2" i="1"/>
  <c r="AD41" i="1"/>
  <c r="S30" i="1"/>
  <c r="T30" i="1"/>
  <c r="U30" i="1"/>
  <c r="R30" i="1"/>
  <c r="S20" i="1"/>
  <c r="S32" i="1" s="1"/>
  <c r="T20" i="1"/>
  <c r="T32" i="1" s="1"/>
  <c r="U20" i="1"/>
  <c r="R20" i="1"/>
  <c r="N20" i="1"/>
  <c r="O20" i="1"/>
  <c r="O32" i="1" s="1"/>
  <c r="P20" i="1"/>
  <c r="N30" i="1"/>
  <c r="O30" i="1"/>
  <c r="P30" i="1"/>
  <c r="N44" i="1"/>
  <c r="O44" i="1"/>
  <c r="P44" i="1"/>
  <c r="M44" i="1"/>
  <c r="M30" i="1"/>
  <c r="M20" i="1"/>
  <c r="M45" i="1" l="1"/>
  <c r="O45" i="1"/>
  <c r="N45" i="1"/>
  <c r="P45" i="1"/>
  <c r="U21" i="1"/>
  <c r="AD43" i="1"/>
  <c r="D32" i="3"/>
  <c r="C32" i="3"/>
  <c r="E32" i="3"/>
  <c r="A34" i="3"/>
  <c r="B33" i="3"/>
  <c r="T21" i="1"/>
  <c r="N21" i="1"/>
  <c r="C13" i="6"/>
  <c r="F10" i="6"/>
  <c r="H10" i="6" s="1"/>
  <c r="G10" i="6"/>
  <c r="U32" i="1"/>
  <c r="U33" i="1" s="1"/>
  <c r="U34" i="1" s="1"/>
  <c r="U35" i="1" s="1"/>
  <c r="T33" i="1"/>
  <c r="T34" i="1" s="1"/>
  <c r="S33" i="1"/>
  <c r="S34" i="1" s="1"/>
  <c r="S21" i="1"/>
  <c r="P32" i="1"/>
  <c r="P33" i="1" s="1"/>
  <c r="P34" i="1" s="1"/>
  <c r="P21" i="1"/>
  <c r="O21" i="1"/>
  <c r="N32" i="1"/>
  <c r="O33" i="1"/>
  <c r="O34" i="1" s="1"/>
  <c r="M32" i="1"/>
  <c r="S60" i="1" l="1"/>
  <c r="S61" i="1" s="1"/>
  <c r="S62" i="1" s="1"/>
  <c r="S67" i="1" s="1"/>
  <c r="S70" i="1" s="1"/>
  <c r="S22" i="1"/>
  <c r="P23" i="1"/>
  <c r="P25" i="1" s="1"/>
  <c r="P22" i="1"/>
  <c r="T23" i="1"/>
  <c r="T25" i="1" s="1"/>
  <c r="T22" i="1"/>
  <c r="O60" i="1"/>
  <c r="O61" i="1" s="1"/>
  <c r="O62" i="1" s="1"/>
  <c r="O67" i="1" s="1"/>
  <c r="O70" i="1" s="1"/>
  <c r="O22" i="1"/>
  <c r="N23" i="1"/>
  <c r="N24" i="1" s="1"/>
  <c r="N31" i="1" s="1"/>
  <c r="N22" i="1"/>
  <c r="U23" i="1"/>
  <c r="U25" i="1" s="1"/>
  <c r="U22" i="1"/>
  <c r="P60" i="1"/>
  <c r="P61" i="1" s="1"/>
  <c r="P62" i="1" s="1"/>
  <c r="P67" i="1" s="1"/>
  <c r="P70" i="1" s="1"/>
  <c r="N60" i="1"/>
  <c r="N61" i="1" s="1"/>
  <c r="N62" i="1" s="1"/>
  <c r="N67" i="1" s="1"/>
  <c r="N70" i="1" s="1"/>
  <c r="U26" i="1"/>
  <c r="U27" i="1" s="1"/>
  <c r="U28" i="1" s="1"/>
  <c r="U60" i="1"/>
  <c r="U61" i="1" s="1"/>
  <c r="U62" i="1" s="1"/>
  <c r="U67" i="1" s="1"/>
  <c r="U70" i="1" s="1"/>
  <c r="T60" i="1"/>
  <c r="T61" i="1" s="1"/>
  <c r="T62" i="1" s="1"/>
  <c r="T67" i="1" s="1"/>
  <c r="T70" i="1" s="1"/>
  <c r="E33" i="3"/>
  <c r="C33" i="3"/>
  <c r="D33" i="3"/>
  <c r="A35" i="3"/>
  <c r="B34" i="3"/>
  <c r="T24" i="1"/>
  <c r="T31" i="1" s="1"/>
  <c r="T26" i="1"/>
  <c r="T27" i="1" s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S35" i="1"/>
  <c r="T35" i="1"/>
  <c r="S23" i="1"/>
  <c r="P35" i="1"/>
  <c r="P26" i="1"/>
  <c r="P27" i="1" s="1"/>
  <c r="P24" i="1"/>
  <c r="P31" i="1" s="1"/>
  <c r="O23" i="1"/>
  <c r="N33" i="1"/>
  <c r="N34" i="1" s="1"/>
  <c r="N35" i="1" s="1"/>
  <c r="O35" i="1"/>
  <c r="M33" i="1"/>
  <c r="M34" i="1" s="1"/>
  <c r="U29" i="1" l="1"/>
  <c r="N26" i="1"/>
  <c r="N27" i="1" s="1"/>
  <c r="N28" i="1" s="1"/>
  <c r="N25" i="1"/>
  <c r="U24" i="1"/>
  <c r="U31" i="1" s="1"/>
  <c r="M72" i="1"/>
  <c r="M74" i="1" s="1"/>
  <c r="M75" i="1" s="1"/>
  <c r="M76" i="1" s="1"/>
  <c r="C34" i="3"/>
  <c r="D34" i="3"/>
  <c r="E34" i="3"/>
  <c r="A36" i="3"/>
  <c r="B36" i="3" s="1"/>
  <c r="B35" i="3"/>
  <c r="T28" i="1"/>
  <c r="T29" i="1" s="1"/>
  <c r="P28" i="1"/>
  <c r="P29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5" i="1"/>
  <c r="S24" i="1"/>
  <c r="S31" i="1" s="1"/>
  <c r="S26" i="1"/>
  <c r="S27" i="1" s="1"/>
  <c r="O24" i="1"/>
  <c r="O31" i="1" s="1"/>
  <c r="O25" i="1"/>
  <c r="O26" i="1"/>
  <c r="O27" i="1" s="1"/>
  <c r="M35" i="1"/>
  <c r="N29" i="1" l="1"/>
  <c r="M73" i="1"/>
  <c r="E35" i="3"/>
  <c r="D35" i="3"/>
  <c r="C35" i="3"/>
  <c r="D36" i="3"/>
  <c r="C36" i="3"/>
  <c r="E36" i="3"/>
  <c r="S28" i="1"/>
  <c r="S29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8" i="1"/>
  <c r="O29" i="1" s="1"/>
  <c r="D56" i="1"/>
  <c r="E56" i="1"/>
  <c r="F56" i="1"/>
  <c r="G56" i="1"/>
  <c r="H56" i="1"/>
  <c r="C56" i="1"/>
  <c r="F45" i="1"/>
  <c r="F52" i="1" s="1"/>
  <c r="G45" i="1"/>
  <c r="G52" i="1" s="1"/>
  <c r="C44" i="1"/>
  <c r="H8" i="1"/>
  <c r="C8" i="1"/>
  <c r="J37" i="1" s="1"/>
  <c r="J38" i="1" s="1"/>
  <c r="J39" i="1" s="1"/>
  <c r="J40" i="1" s="1"/>
  <c r="J41" i="1" s="1"/>
  <c r="G20" i="1"/>
  <c r="G30" i="1"/>
  <c r="F20" i="1"/>
  <c r="H20" i="1"/>
  <c r="F30" i="1"/>
  <c r="H30" i="1"/>
  <c r="D30" i="1"/>
  <c r="E30" i="1"/>
  <c r="C30" i="1"/>
  <c r="D20" i="1"/>
  <c r="E20" i="1"/>
  <c r="C20" i="1"/>
  <c r="J12" i="1"/>
  <c r="R32" i="1"/>
  <c r="F32" i="1" l="1"/>
  <c r="H32" i="1"/>
  <c r="O43" i="1"/>
  <c r="J43" i="1"/>
  <c r="J42" i="1"/>
  <c r="C45" i="1"/>
  <c r="S43" i="1"/>
  <c r="O42" i="1"/>
  <c r="F37" i="1"/>
  <c r="K37" i="1"/>
  <c r="L37" i="1"/>
  <c r="T37" i="1"/>
  <c r="T38" i="1" s="1"/>
  <c r="T39" i="1" s="1"/>
  <c r="T40" i="1" s="1"/>
  <c r="T41" i="1" s="1"/>
  <c r="P37" i="1"/>
  <c r="P38" i="1" s="1"/>
  <c r="P39" i="1" s="1"/>
  <c r="P40" i="1" s="1"/>
  <c r="P41" i="1" s="1"/>
  <c r="N37" i="1"/>
  <c r="N38" i="1" s="1"/>
  <c r="N39" i="1" s="1"/>
  <c r="N40" i="1" s="1"/>
  <c r="N41" i="1" s="1"/>
  <c r="I37" i="1"/>
  <c r="S37" i="1"/>
  <c r="S38" i="1" s="1"/>
  <c r="S39" i="1" s="1"/>
  <c r="S40" i="1" s="1"/>
  <c r="S41" i="1" s="1"/>
  <c r="O37" i="1"/>
  <c r="O38" i="1" s="1"/>
  <c r="O39" i="1" s="1"/>
  <c r="O40" i="1" s="1"/>
  <c r="O41" i="1" s="1"/>
  <c r="U37" i="1"/>
  <c r="U38" i="1" s="1"/>
  <c r="U39" i="1" s="1"/>
  <c r="U40" i="1" s="1"/>
  <c r="U41" i="1" s="1"/>
  <c r="R37" i="1"/>
  <c r="M37" i="1"/>
  <c r="M38" i="1" s="1"/>
  <c r="M39" i="1" s="1"/>
  <c r="M40" i="1" s="1"/>
  <c r="M41" i="1" s="1"/>
  <c r="U42" i="1"/>
  <c r="U43" i="1"/>
  <c r="N42" i="1"/>
  <c r="N43" i="1"/>
  <c r="T43" i="1"/>
  <c r="P43" i="1"/>
  <c r="T42" i="1"/>
  <c r="P42" i="1"/>
  <c r="S42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3" i="1"/>
  <c r="R34" i="1" s="1"/>
  <c r="R35" i="1" s="1"/>
  <c r="E37" i="1"/>
  <c r="H37" i="1"/>
  <c r="D37" i="1"/>
  <c r="G37" i="1"/>
  <c r="G32" i="1"/>
  <c r="G21" i="1"/>
  <c r="F21" i="1"/>
  <c r="H21" i="1"/>
  <c r="H33" i="1"/>
  <c r="H34" i="1" s="1"/>
  <c r="H35" i="1" s="1"/>
  <c r="F33" i="1"/>
  <c r="F34" i="1" s="1"/>
  <c r="F35" i="1" s="1"/>
  <c r="R21" i="1"/>
  <c r="R22" i="1" s="1"/>
  <c r="T52" i="1"/>
  <c r="U52" i="1"/>
  <c r="S52" i="1"/>
  <c r="H60" i="1" l="1"/>
  <c r="H61" i="1" s="1"/>
  <c r="H62" i="1" s="1"/>
  <c r="H67" i="1" s="1"/>
  <c r="H70" i="1" s="1"/>
  <c r="H22" i="1"/>
  <c r="G54" i="1"/>
  <c r="G55" i="1" s="1"/>
  <c r="G22" i="1"/>
  <c r="F60" i="1"/>
  <c r="F61" i="1" s="1"/>
  <c r="F62" i="1" s="1"/>
  <c r="F67" i="1" s="1"/>
  <c r="F70" i="1" s="1"/>
  <c r="F22" i="1"/>
  <c r="R54" i="1"/>
  <c r="R55" i="1" s="1"/>
  <c r="R60" i="1"/>
  <c r="R61" i="1" s="1"/>
  <c r="R62" i="1" s="1"/>
  <c r="R67" i="1" s="1"/>
  <c r="R70" i="1" s="1"/>
  <c r="G60" i="1"/>
  <c r="G61" i="1" s="1"/>
  <c r="G62" i="1" s="1"/>
  <c r="G67" i="1" s="1"/>
  <c r="G70" i="1" s="1"/>
  <c r="F23" i="1"/>
  <c r="F24" i="1" s="1"/>
  <c r="F31" i="1" s="1"/>
  <c r="F54" i="1"/>
  <c r="F55" i="1" s="1"/>
  <c r="H23" i="1"/>
  <c r="H25" i="1" s="1"/>
  <c r="H54" i="1"/>
  <c r="H55" i="1" s="1"/>
  <c r="E14" i="6"/>
  <c r="F14" i="6"/>
  <c r="M21" i="1"/>
  <c r="M22" i="1" s="1"/>
  <c r="G33" i="1"/>
  <c r="G34" i="1" s="1"/>
  <c r="G35" i="1" s="1"/>
  <c r="G23" i="1"/>
  <c r="R23" i="1"/>
  <c r="R26" i="1" s="1"/>
  <c r="R27" i="1" s="1"/>
  <c r="E32" i="1"/>
  <c r="E12" i="1"/>
  <c r="C12" i="1" s="1"/>
  <c r="C11" i="1"/>
  <c r="C32" i="1"/>
  <c r="P52" i="1"/>
  <c r="N52" i="1"/>
  <c r="M52" i="1"/>
  <c r="L44" i="1"/>
  <c r="K44" i="1"/>
  <c r="I44" i="1"/>
  <c r="E44" i="1"/>
  <c r="D44" i="1"/>
  <c r="C52" i="1"/>
  <c r="Q28" i="1"/>
  <c r="C37" i="1"/>
  <c r="C4" i="1"/>
  <c r="F28" i="1" l="1"/>
  <c r="F29" i="1" s="1"/>
  <c r="M23" i="1"/>
  <c r="M24" i="1" s="1"/>
  <c r="M31" i="1" s="1"/>
  <c r="M60" i="1"/>
  <c r="M61" i="1" s="1"/>
  <c r="M62" i="1" s="1"/>
  <c r="M67" i="1" s="1"/>
  <c r="M70" i="1" s="1"/>
  <c r="I45" i="1"/>
  <c r="I52" i="1" s="1"/>
  <c r="L45" i="1"/>
  <c r="L52" i="1" s="1"/>
  <c r="H24" i="1"/>
  <c r="H31" i="1" s="1"/>
  <c r="H26" i="1"/>
  <c r="H27" i="1" s="1"/>
  <c r="H43" i="1" s="1"/>
  <c r="D45" i="1"/>
  <c r="D52" i="1" s="1"/>
  <c r="K45" i="1"/>
  <c r="K52" i="1" s="1"/>
  <c r="R42" i="1"/>
  <c r="R43" i="1"/>
  <c r="H14" i="6"/>
  <c r="I14" i="6"/>
  <c r="G14" i="6"/>
  <c r="E45" i="1"/>
  <c r="E52" i="1" s="1"/>
  <c r="G38" i="1"/>
  <c r="G39" i="1" s="1"/>
  <c r="G40" i="1" s="1"/>
  <c r="G41" i="1" s="1"/>
  <c r="H38" i="1"/>
  <c r="H39" i="1" s="1"/>
  <c r="H40" i="1" s="1"/>
  <c r="H41" i="1" s="1"/>
  <c r="F38" i="1"/>
  <c r="F39" i="1" s="1"/>
  <c r="F40" i="1" s="1"/>
  <c r="F41" i="1" s="1"/>
  <c r="G25" i="1"/>
  <c r="G24" i="1"/>
  <c r="G31" i="1" s="1"/>
  <c r="G26" i="1"/>
  <c r="G27" i="1" s="1"/>
  <c r="C33" i="1"/>
  <c r="C34" i="1" s="1"/>
  <c r="C35" i="1" s="1"/>
  <c r="E33" i="1"/>
  <c r="E34" i="1" s="1"/>
  <c r="E35" i="1" s="1"/>
  <c r="I30" i="1"/>
  <c r="I20" i="1"/>
  <c r="T54" i="1"/>
  <c r="R38" i="1"/>
  <c r="R28" i="1"/>
  <c r="R25" i="1"/>
  <c r="R24" i="1"/>
  <c r="R31" i="1" s="1"/>
  <c r="U54" i="1"/>
  <c r="M54" i="1"/>
  <c r="M55" i="1" s="1"/>
  <c r="N54" i="1"/>
  <c r="N55" i="1" s="1"/>
  <c r="P54" i="1"/>
  <c r="P55" i="1" s="1"/>
  <c r="K38" i="1"/>
  <c r="E38" i="1"/>
  <c r="E39" i="1" s="1"/>
  <c r="I38" i="1"/>
  <c r="C38" i="1"/>
  <c r="C39" i="1" s="1"/>
  <c r="D38" i="1"/>
  <c r="L38" i="1"/>
  <c r="E21" i="1"/>
  <c r="E22" i="1" s="1"/>
  <c r="O52" i="1"/>
  <c r="V52" i="1" s="1"/>
  <c r="D21" i="1"/>
  <c r="D22" i="1" s="1"/>
  <c r="D32" i="1"/>
  <c r="O54" i="1"/>
  <c r="O55" i="1" s="1"/>
  <c r="F42" i="1" l="1"/>
  <c r="F43" i="1"/>
  <c r="F71" i="1" s="1"/>
  <c r="V71" i="1" s="1"/>
  <c r="W71" i="1" s="1"/>
  <c r="M25" i="1"/>
  <c r="M26" i="1"/>
  <c r="L72" i="1" s="1"/>
  <c r="E23" i="1"/>
  <c r="E25" i="1" s="1"/>
  <c r="E60" i="1"/>
  <c r="E61" i="1" s="1"/>
  <c r="E62" i="1" s="1"/>
  <c r="E67" i="1" s="1"/>
  <c r="E70" i="1" s="1"/>
  <c r="D54" i="1"/>
  <c r="D55" i="1" s="1"/>
  <c r="D60" i="1"/>
  <c r="D61" i="1" s="1"/>
  <c r="D62" i="1" s="1"/>
  <c r="D67" i="1" s="1"/>
  <c r="D70" i="1" s="1"/>
  <c r="H42" i="1"/>
  <c r="H28" i="1"/>
  <c r="H29" i="1" s="1"/>
  <c r="R29" i="1"/>
  <c r="G23" i="6"/>
  <c r="O12" i="6"/>
  <c r="N23" i="6" s="1"/>
  <c r="O14" i="6"/>
  <c r="N25" i="6" s="1"/>
  <c r="G25" i="6"/>
  <c r="O13" i="6"/>
  <c r="N24" i="6" s="1"/>
  <c r="G24" i="6"/>
  <c r="R39" i="1"/>
  <c r="R40" i="1" s="1"/>
  <c r="R41" i="1" s="1"/>
  <c r="G43" i="1"/>
  <c r="G42" i="1"/>
  <c r="D33" i="1"/>
  <c r="D34" i="1" s="1"/>
  <c r="D39" i="1"/>
  <c r="D40" i="1" s="1"/>
  <c r="E40" i="1"/>
  <c r="E41" i="1" s="1"/>
  <c r="G28" i="1"/>
  <c r="G29" i="1" s="1"/>
  <c r="C40" i="1"/>
  <c r="C41" i="1" s="1"/>
  <c r="L20" i="1"/>
  <c r="L30" i="1"/>
  <c r="K30" i="1"/>
  <c r="K20" i="1"/>
  <c r="D23" i="1"/>
  <c r="D25" i="1" s="1"/>
  <c r="S54" i="1"/>
  <c r="E54" i="1"/>
  <c r="E55" i="1" s="1"/>
  <c r="C21" i="1"/>
  <c r="C22" i="1" s="1"/>
  <c r="I32" i="1"/>
  <c r="I39" i="1" s="1"/>
  <c r="I40" i="1" s="1"/>
  <c r="I21" i="1"/>
  <c r="E26" i="1" l="1"/>
  <c r="E72" i="1" s="1"/>
  <c r="M27" i="1"/>
  <c r="M28" i="1" s="1"/>
  <c r="M29" i="1" s="1"/>
  <c r="E24" i="1"/>
  <c r="E31" i="1" s="1"/>
  <c r="I54" i="1"/>
  <c r="I55" i="1" s="1"/>
  <c r="I22" i="1"/>
  <c r="C54" i="1"/>
  <c r="C55" i="1" s="1"/>
  <c r="C60" i="1"/>
  <c r="C61" i="1" s="1"/>
  <c r="C62" i="1" s="1"/>
  <c r="C67" i="1" s="1"/>
  <c r="L21" i="1"/>
  <c r="L54" i="1" s="1"/>
  <c r="L55" i="1" s="1"/>
  <c r="I60" i="1"/>
  <c r="I61" i="1" s="1"/>
  <c r="I62" i="1" s="1"/>
  <c r="I67" i="1" s="1"/>
  <c r="I70" i="1" s="1"/>
  <c r="L73" i="1"/>
  <c r="L74" i="1"/>
  <c r="L75" i="1" s="1"/>
  <c r="L76" i="1" s="1"/>
  <c r="M43" i="1"/>
  <c r="M42" i="1"/>
  <c r="E74" i="1"/>
  <c r="E75" i="1" s="1"/>
  <c r="E76" i="1" s="1"/>
  <c r="C23" i="1"/>
  <c r="C24" i="1" s="1"/>
  <c r="C31" i="1" s="1"/>
  <c r="K32" i="1"/>
  <c r="K39" i="1" s="1"/>
  <c r="K40" i="1" s="1"/>
  <c r="I33" i="1"/>
  <c r="K21" i="1"/>
  <c r="D26" i="1"/>
  <c r="D24" i="1"/>
  <c r="D31" i="1" s="1"/>
  <c r="I23" i="1"/>
  <c r="I26" i="1" s="1"/>
  <c r="I27" i="1" s="1"/>
  <c r="D35" i="1"/>
  <c r="D41" i="1"/>
  <c r="E27" i="1"/>
  <c r="E73" i="1" s="1"/>
  <c r="L32" i="1"/>
  <c r="L33" i="1" s="1"/>
  <c r="C68" i="1" l="1"/>
  <c r="C70" i="1"/>
  <c r="K23" i="1"/>
  <c r="K26" i="1" s="1"/>
  <c r="K27" i="1" s="1"/>
  <c r="K28" i="1" s="1"/>
  <c r="K22" i="1"/>
  <c r="L23" i="1"/>
  <c r="L22" i="1"/>
  <c r="L60" i="1"/>
  <c r="L61" i="1" s="1"/>
  <c r="L62" i="1" s="1"/>
  <c r="L67" i="1" s="1"/>
  <c r="L70" i="1" s="1"/>
  <c r="L26" i="1"/>
  <c r="K72" i="1" s="1"/>
  <c r="K60" i="1"/>
  <c r="K61" i="1" s="1"/>
  <c r="K62" i="1" s="1"/>
  <c r="K67" i="1" s="1"/>
  <c r="K70" i="1" s="1"/>
  <c r="L39" i="1"/>
  <c r="L40" i="1" s="1"/>
  <c r="I34" i="1"/>
  <c r="I35" i="1" s="1"/>
  <c r="I42" i="1"/>
  <c r="I43" i="1"/>
  <c r="D27" i="1"/>
  <c r="D42" i="1" s="1"/>
  <c r="D72" i="1"/>
  <c r="D74" i="1" s="1"/>
  <c r="D75" i="1" s="1"/>
  <c r="C25" i="1"/>
  <c r="C26" i="1"/>
  <c r="C27" i="1" s="1"/>
  <c r="H45" i="1" s="1"/>
  <c r="H52" i="1" s="1"/>
  <c r="K33" i="1"/>
  <c r="K34" i="1" s="1"/>
  <c r="K41" i="1" s="1"/>
  <c r="E43" i="1"/>
  <c r="E42" i="1"/>
  <c r="K54" i="1"/>
  <c r="K55" i="1" s="1"/>
  <c r="I28" i="1"/>
  <c r="L34" i="1"/>
  <c r="E28" i="1"/>
  <c r="E29" i="1" s="1"/>
  <c r="K24" i="1"/>
  <c r="K31" i="1" s="1"/>
  <c r="I25" i="1"/>
  <c r="I24" i="1"/>
  <c r="I31" i="1" s="1"/>
  <c r="J72" i="1" l="1"/>
  <c r="J74" i="1" s="1"/>
  <c r="J75" i="1" s="1"/>
  <c r="K25" i="1"/>
  <c r="L25" i="1"/>
  <c r="L24" i="1"/>
  <c r="L31" i="1" s="1"/>
  <c r="L27" i="1"/>
  <c r="L28" i="1" s="1"/>
  <c r="L29" i="1" s="1"/>
  <c r="I29" i="1"/>
  <c r="D43" i="1"/>
  <c r="D28" i="1"/>
  <c r="D29" i="1" s="1"/>
  <c r="K29" i="1"/>
  <c r="I41" i="1"/>
  <c r="L41" i="1"/>
  <c r="K35" i="1"/>
  <c r="K42" i="1"/>
  <c r="K43" i="1"/>
  <c r="J76" i="1"/>
  <c r="K74" i="1"/>
  <c r="K75" i="1" s="1"/>
  <c r="K76" i="1" s="1"/>
  <c r="K73" i="1"/>
  <c r="D76" i="1"/>
  <c r="D73" i="1"/>
  <c r="C43" i="1"/>
  <c r="C42" i="1"/>
  <c r="C28" i="1"/>
  <c r="C29" i="1" s="1"/>
  <c r="J73" i="1"/>
  <c r="L35" i="1"/>
  <c r="L43" i="1" l="1"/>
  <c r="L42" i="1"/>
</calcChain>
</file>

<file path=xl/sharedStrings.xml><?xml version="1.0" encoding="utf-8"?>
<sst xmlns="http://schemas.openxmlformats.org/spreadsheetml/2006/main" count="367" uniqueCount="262">
  <si>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</si>
  <si>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</si>
  <si>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</si>
  <si>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</si>
  <si>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</si>
  <si>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</si>
  <si>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</si>
  <si>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</si>
  <si>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</si>
  <si>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</si>
  <si>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</si>
  <si>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</si>
  <si>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</si>
  <si>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</si>
  <si>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</si>
  <si>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</si>
  <si>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</si>
  <si>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</si>
  <si>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</si>
  <si>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</si>
  <si>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</si>
  <si>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</si>
  <si>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</si>
  <si>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</si>
  <si>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</si>
  <si>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</si>
  <si>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</si>
  <si>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</si>
  <si>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</si>
  <si>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</si>
  <si>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</si>
  <si>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</si>
  <si>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</si>
  <si>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</si>
  <si>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</si>
  <si>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</si>
  <si>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</si>
  <si>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</si>
  <si>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</si>
  <si>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</si>
  <si>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</si>
  <si>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</si>
  <si>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</si>
  <si>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</si>
  <si>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</si>
  <si>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</si>
  <si>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</si>
  <si>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</si>
  <si>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</si>
  <si>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</si>
  <si>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</si>
  <si>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</si>
  <si>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</si>
  <si>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</si>
  <si>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</si>
  <si>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</si>
  <si>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</si>
  <si>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</si>
  <si>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</si>
  <si>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</si>
  <si>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</si>
  <si>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</si>
  <si>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</si>
  <si>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</si>
  <si>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</si>
  <si>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</si>
  <si>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</si>
  <si>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</si>
  <si>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</si>
  <si>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</si>
  <si>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</si>
  <si>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</si>
  <si>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</si>
  <si>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</si>
  <si>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</si>
  <si>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</si>
  <si>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</si>
  <si>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</si>
  <si>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</si>
  <si>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</si>
  <si>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</si>
  <si>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</si>
  <si>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</si>
  <si>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</si>
  <si>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</si>
  <si>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</si>
  <si>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</si>
  <si>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</si>
  <si>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</si>
  <si>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</si>
  <si>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</si>
  <si>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</si>
  <si>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</si>
  <si>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</si>
  <si>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</si>
  <si>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</si>
  <si>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</si>
  <si>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</si>
  <si>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</si>
  <si>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</si>
  <si>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</si>
  <si>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</si>
  <si>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</si>
  <si>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</si>
  <si>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</si>
  <si>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</si>
  <si>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</si>
  <si>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</si>
  <si>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</si>
  <si>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</si>
  <si>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</si>
  <si>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</si>
  <si>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</si>
  <si>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</si>
  <si>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</si>
  <si>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</si>
  <si>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</si>
  <si>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</si>
  <si>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</si>
  <si>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</si>
  <si>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</si>
  <si>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</si>
  <si>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</si>
  <si>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</si>
  <si>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</si>
  <si>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</si>
  <si>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</si>
  <si>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</si>
  <si>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</si>
  <si>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</si>
  <si>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</si>
  <si>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</si>
  <si>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</si>
  <si>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</si>
  <si>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</si>
  <si>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</si>
  <si>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</si>
  <si>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</si>
  <si>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</si>
  <si>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</si>
  <si>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</si>
  <si>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</si>
  <si>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</si>
  <si>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</si>
  <si>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</si>
  <si>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</si>
  <si>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</si>
  <si>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</si>
  <si>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</si>
  <si>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</si>
  <si>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</si>
  <si>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</si>
  <si>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</si>
  <si>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</si>
  <si>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</si>
  <si>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</si>
  <si>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</si>
  <si>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</si>
  <si>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</si>
  <si>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</si>
  <si>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</si>
  <si>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</si>
  <si>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</si>
  <si>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</si>
  <si>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</si>
  <si>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</si>
  <si>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</si>
  <si>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</si>
  <si>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</si>
  <si>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</si>
  <si>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</si>
  <si>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</si>
  <si>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</si>
  <si>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</si>
  <si>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</si>
  <si>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</si>
  <si>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</si>
  <si>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</si>
  <si>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</si>
  <si>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</si>
  <si>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</si>
  <si>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</si>
  <si>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</si>
  <si>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</si>
  <si>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</si>
  <si>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</si>
  <si>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</si>
  <si>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</si>
  <si>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</si>
  <si>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</si>
  <si>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</si>
  <si>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</si>
  <si>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</si>
  <si>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</si>
  <si>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 xml:space="preserve">cteq 6 pdfs </t>
  </si>
  <si>
    <t>apfel.mi.infn.it</t>
  </si>
  <si>
    <t>Q2=6.0</t>
  </si>
  <si>
    <t>Q2=3.0</t>
  </si>
  <si>
    <t>u-bar</t>
  </si>
  <si>
    <t>d-bar</t>
  </si>
  <si>
    <t>glue</t>
  </si>
  <si>
    <t>d</t>
  </si>
  <si>
    <t>u</t>
  </si>
  <si>
    <t>Ratio</t>
  </si>
  <si>
    <t>Neglecting F_L</t>
  </si>
  <si>
    <t>Ratio/ln(Q2)</t>
  </si>
  <si>
    <t>F2(xB)</t>
  </si>
  <si>
    <t>d3sig/dxdydphi</t>
  </si>
  <si>
    <t>sigma_DIS(HMS)</t>
  </si>
  <si>
    <t>DIS Rate HMS</t>
  </si>
  <si>
    <t>1/sec</t>
  </si>
  <si>
    <t>alphaQED</t>
  </si>
  <si>
    <t>hbarcSq</t>
  </si>
  <si>
    <t>GeV^2 nb</t>
  </si>
  <si>
    <t xml:space="preserve">HMS Sieve </t>
  </si>
  <si>
    <t>holes</t>
  </si>
  <si>
    <t>mm (radius)</t>
  </si>
  <si>
    <t>Distance</t>
  </si>
  <si>
    <t>m (from target)</t>
  </si>
  <si>
    <t>Sieve Hole Rate</t>
  </si>
  <si>
    <t>Sieve_Solid_angle</t>
  </si>
  <si>
    <t>KinC_x60_4</t>
  </si>
  <si>
    <t>F2_N</t>
  </si>
  <si>
    <t>C_5%</t>
  </si>
  <si>
    <t>g/cm^2</t>
  </si>
  <si>
    <t>Target 10 cm LH2</t>
  </si>
  <si>
    <t>HMS above 6.6 GeV the delta acceptance is +8 to -4% while below 6.6 GeV that the delta acceptance is +8% to – 8%.</t>
  </si>
  <si>
    <t>HMS66</t>
  </si>
  <si>
    <t>P_HMS</t>
  </si>
  <si>
    <t>HMS Set Momentum</t>
  </si>
  <si>
    <t>DVCS-NPS 2023 Kinematics,     Full Energy CEBAF                        (v.0) 9 June 2023.                           C.Hyde</t>
  </si>
  <si>
    <t>Approved</t>
  </si>
  <si>
    <t>PAC days</t>
  </si>
  <si>
    <t>pi/e ratio</t>
  </si>
  <si>
    <t>From Peter Bosted</t>
  </si>
  <si>
    <t>Note from Peter Bosted on HMS optics</t>
  </si>
  <si>
    <t>&gt;&gt; was 5.27 GeV, which was corrected down to 5.24 GeV using the</t>
  </si>
  <si>
    <t>&gt;&gt; following formula from Holly:</t>
  </si>
  <si>
    <t>&gt;&gt;        y = -0.000276 * p**3 + 0.002585 * p**2</t>
  </si>
  <si>
    <t>&gt;&gt;      &gt;   - 0.008697* P</t>
  </si>
  <si>
    <t>&gt;&gt;      &gt;   + 1.006440</t>
  </si>
  <si>
    <t>&gt;&gt;        if(y.lt.0.9944) y = 0.9944</t>
  </si>
  <si>
    <t xml:space="preserve">  We ran for several months in 2018 for the SIDIS experiments</t>
  </si>
  <si>
    <t>&gt;&gt; with an HMS momentum of 5.24 GeV. I did fairly extensive studies</t>
  </si>
  <si>
    <t>&gt;&gt; of the HMS optics at this setting, and did not find any need to</t>
  </si>
  <si>
    <t>&gt;&gt; modify the "standard" matrix elements. The "nominal" momentum</t>
  </si>
  <si>
    <t>Optics Target</t>
  </si>
  <si>
    <t>Foils @ +/- 8cm</t>
  </si>
  <si>
    <t>C, each</t>
  </si>
  <si>
    <t>Optics Rate/hole/foil</t>
  </si>
  <si>
    <t>Days below 10deg edge</t>
  </si>
  <si>
    <t>days</t>
  </si>
  <si>
    <t>sec in danger zone</t>
  </si>
  <si>
    <t>Kin_x50_0</t>
  </si>
  <si>
    <t>KinC_x36_6</t>
  </si>
  <si>
    <t xml:space="preserve">pi0 separation </t>
  </si>
  <si>
    <t>(cm)</t>
  </si>
  <si>
    <t>3Pass</t>
  </si>
  <si>
    <t>4Pass</t>
  </si>
  <si>
    <t>5Pass</t>
  </si>
  <si>
    <t>Totals  3,4,5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</si>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</sst>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13"/>
      <color rgb="FF1C00CF"/>
      <name val="Menlo"/>
      <family val="2"/>
    </font>
    <font>
      <sz val="13"/>
      <color rgb="FF000000"/>
      <name val="Menlo"/>
      <family val="2"/>
    </font>
    <font>
      <sz val="15"/>
      <color rgb="FF242424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800000"/>
      <name val="Arial Unicode MS"/>
      <family val="2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5" applyNumberFormat="0" applyAlignment="0" applyProtection="0"/>
    <xf numFmtId="0" fontId="8" fillId="9" borderId="26" applyNumberFormat="0" applyAlignment="0" applyProtection="0"/>
    <xf numFmtId="0" fontId="6" fillId="10" borderId="0" applyNumberFormat="0" applyBorder="0" applyAlignment="0" applyProtection="0"/>
  </cellStyleXfs>
  <cellXfs count="20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20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9" fontId="0" fillId="0" borderId="0" xfId="0" applyNumberFormat="1"/>
    <xf numFmtId="0" fontId="1" fillId="0" borderId="19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4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4" xfId="0" applyNumberFormat="1" applyFill="1" applyBorder="1"/>
    <xf numFmtId="166" fontId="1" fillId="5" borderId="12" xfId="0" applyNumberFormat="1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5" xfId="77" applyBorder="1"/>
    <xf numFmtId="0" fontId="7" fillId="8" borderId="25" xfId="75"/>
    <xf numFmtId="0" fontId="8" fillId="9" borderId="26" xfId="76"/>
    <xf numFmtId="0" fontId="6" fillId="10" borderId="26" xfId="77" applyBorder="1"/>
    <xf numFmtId="0" fontId="8" fillId="0" borderId="0" xfId="76" applyFill="1" applyBorder="1"/>
    <xf numFmtId="0" fontId="8" fillId="9" borderId="27" xfId="76" applyBorder="1"/>
    <xf numFmtId="0" fontId="8" fillId="0" borderId="28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29" xfId="0" applyFont="1" applyBorder="1"/>
    <xf numFmtId="0" fontId="0" fillId="0" borderId="24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4" xfId="0" applyNumberFormat="1" applyFont="1" applyFill="1" applyBorder="1"/>
    <xf numFmtId="165" fontId="1" fillId="0" borderId="11" xfId="0" applyNumberFormat="1" applyFont="1" applyBorder="1"/>
    <xf numFmtId="2" fontId="0" fillId="2" borderId="24" xfId="0" applyNumberFormat="1" applyFill="1" applyBorder="1"/>
    <xf numFmtId="2" fontId="1" fillId="0" borderId="12" xfId="0" applyNumberFormat="1" applyFont="1" applyBorder="1" applyAlignment="1">
      <alignment horizontal="center"/>
    </xf>
    <xf numFmtId="0" fontId="10" fillId="0" borderId="0" xfId="0" applyFont="1"/>
    <xf numFmtId="11" fontId="10" fillId="0" borderId="0" xfId="0" applyNumberFormat="1" applyFont="1"/>
    <xf numFmtId="0" fontId="11" fillId="0" borderId="0" xfId="0" applyFont="1"/>
    <xf numFmtId="0" fontId="0" fillId="0" borderId="30" xfId="0" applyBorder="1"/>
    <xf numFmtId="2" fontId="0" fillId="0" borderId="24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0" fillId="0" borderId="8" xfId="0" applyNumberFormat="1" applyBorder="1"/>
    <xf numFmtId="11" fontId="0" fillId="2" borderId="0" xfId="0" applyNumberFormat="1" applyFill="1"/>
    <xf numFmtId="11" fontId="0" fillId="5" borderId="0" xfId="0" applyNumberFormat="1" applyFill="1"/>
    <xf numFmtId="1" fontId="0" fillId="0" borderId="0" xfId="0" applyNumberFormat="1"/>
    <xf numFmtId="165" fontId="0" fillId="5" borderId="12" xfId="0" applyNumberFormat="1" applyFill="1" applyBorder="1" applyAlignment="1">
      <alignment horizontal="center"/>
    </xf>
    <xf numFmtId="165" fontId="0" fillId="2" borderId="24" xfId="0" applyNumberFormat="1" applyFill="1" applyBorder="1"/>
    <xf numFmtId="11" fontId="0" fillId="2" borderId="24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2" borderId="24" xfId="0" applyNumberFormat="1" applyFill="1" applyBorder="1"/>
    <xf numFmtId="1" fontId="0" fillId="2" borderId="12" xfId="0" applyNumberFormat="1" applyFill="1" applyBorder="1"/>
    <xf numFmtId="1" fontId="0" fillId="5" borderId="12" xfId="0" applyNumberFormat="1" applyFill="1" applyBorder="1"/>
    <xf numFmtId="1" fontId="0" fillId="6" borderId="12" xfId="0" applyNumberFormat="1" applyFill="1" applyBorder="1"/>
    <xf numFmtId="2" fontId="0" fillId="7" borderId="0" xfId="0" applyNumberFormat="1" applyFill="1"/>
    <xf numFmtId="11" fontId="0" fillId="7" borderId="0" xfId="0" applyNumberFormat="1" applyFill="1"/>
    <xf numFmtId="1" fontId="0" fillId="7" borderId="0" xfId="0" applyNumberFormat="1" applyFill="1"/>
    <xf numFmtId="1" fontId="1" fillId="7" borderId="0" xfId="0" applyNumberFormat="1" applyFont="1" applyFill="1"/>
    <xf numFmtId="1" fontId="1" fillId="2" borderId="12" xfId="0" applyNumberFormat="1" applyFont="1" applyFill="1" applyBorder="1"/>
    <xf numFmtId="11" fontId="0" fillId="6" borderId="0" xfId="0" applyNumberFormat="1" applyFill="1"/>
    <xf numFmtId="1" fontId="1" fillId="0" borderId="0" xfId="0" applyNumberFormat="1" applyFont="1"/>
    <xf numFmtId="0" fontId="12" fillId="0" borderId="0" xfId="0" applyFont="1"/>
    <xf numFmtId="165" fontId="1" fillId="0" borderId="4" xfId="0" applyNumberFormat="1" applyFont="1" applyBorder="1"/>
    <xf numFmtId="165" fontId="1" fillId="0" borderId="5" xfId="0" applyNumberFormat="1" applyFont="1" applyBorder="1"/>
    <xf numFmtId="165" fontId="1" fillId="6" borderId="18" xfId="0" applyNumberFormat="1" applyFont="1" applyFill="1" applyBorder="1"/>
    <xf numFmtId="165" fontId="1" fillId="7" borderId="14" xfId="0" applyNumberFormat="1" applyFont="1" applyFill="1" applyBorder="1"/>
    <xf numFmtId="166" fontId="0" fillId="2" borderId="0" xfId="0" applyNumberFormat="1" applyFill="1"/>
    <xf numFmtId="166" fontId="1" fillId="7" borderId="0" xfId="0" applyNumberFormat="1" applyFont="1" applyFill="1"/>
    <xf numFmtId="0" fontId="13" fillId="0" borderId="0" xfId="0" applyFont="1"/>
    <xf numFmtId="0" fontId="14" fillId="0" borderId="0" xfId="0" applyFont="1"/>
    <xf numFmtId="11" fontId="0" fillId="11" borderId="0" xfId="0" applyNumberFormat="1" applyFill="1"/>
    <xf numFmtId="11" fontId="16" fillId="12" borderId="0" xfId="0" applyNumberFormat="1" applyFont="1" applyFill="1"/>
    <xf numFmtId="11" fontId="15" fillId="0" borderId="0" xfId="0" applyNumberFormat="1" applyFont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7" borderId="21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32" xfId="0" applyBorder="1" applyAlignment="1">
      <alignment horizontal="right"/>
    </xf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893E9"/>
      <color rgb="FFFFC280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'DVCS-Kin'!$W$27:$AA$27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3</xdr:col>
      <xdr:colOff>787400</xdr:colOff>
      <xdr:row>80</xdr:row>
      <xdr:rowOff>132080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81</xdr:row>
      <xdr:rowOff>71120</xdr:rowOff>
    </xdr:from>
    <xdr:to>
      <xdr:col>3</xdr:col>
      <xdr:colOff>442422</xdr:colOff>
      <xdr:row>83</xdr:row>
      <xdr:rowOff>172720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114</xdr:row>
      <xdr:rowOff>0</xdr:rowOff>
    </xdr:from>
    <xdr:to>
      <xdr:col>7</xdr:col>
      <xdr:colOff>160690</xdr:colOff>
      <xdr:row>121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511EB-31F4-E045-B9CA-8E520A12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028400"/>
          <a:ext cx="5100990" cy="1536700"/>
        </a:xfrm>
        <a:prstGeom prst="rect">
          <a:avLst/>
        </a:prstGeom>
      </xdr:spPr>
    </xdr:pic>
    <xdr:clientData/>
  </xdr:twoCellAnchor>
  <xdr:twoCellAnchor editAs="oneCell">
    <xdr:from>
      <xdr:col>5</xdr:col>
      <xdr:colOff>40086</xdr:colOff>
      <xdr:row>113</xdr:row>
      <xdr:rowOff>63501</xdr:rowOff>
    </xdr:from>
    <xdr:to>
      <xdr:col>13</xdr:col>
      <xdr:colOff>0</xdr:colOff>
      <xdr:row>127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EEDEE-1ED9-0944-8010-0D285386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8986" y="23888701"/>
          <a:ext cx="6563914" cy="2782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111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  <c r="G1" t="s">
        <v>117</v>
      </c>
      <c r="H1" t="s">
        <v>118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O1" t="s">
        <v>124</v>
      </c>
    </row>
    <row r="2" spans="1:15" x14ac:dyDescent="0.2">
      <c r="A2" s="105">
        <v>4</v>
      </c>
      <c r="B2" s="105">
        <v>5</v>
      </c>
      <c r="C2" s="105">
        <v>5</v>
      </c>
      <c r="D2" s="106">
        <f>0.1128*E2</f>
        <v>118.10159999999999</v>
      </c>
      <c r="E2" s="106">
        <v>1047</v>
      </c>
      <c r="F2" s="106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125</v>
      </c>
    </row>
    <row r="3" spans="1:15" x14ac:dyDescent="0.2">
      <c r="D3" t="s">
        <v>126</v>
      </c>
      <c r="E3" t="s">
        <v>126</v>
      </c>
      <c r="F3" t="s">
        <v>126</v>
      </c>
      <c r="H3" t="s">
        <v>127</v>
      </c>
      <c r="I3" t="s">
        <v>128</v>
      </c>
      <c r="J3" t="s">
        <v>129</v>
      </c>
      <c r="K3" t="s">
        <v>130</v>
      </c>
      <c r="O3" t="s">
        <v>131</v>
      </c>
    </row>
    <row r="4" spans="1:15" x14ac:dyDescent="0.2">
      <c r="E4" t="s">
        <v>126</v>
      </c>
      <c r="G4" t="s">
        <v>126</v>
      </c>
      <c r="H4" t="s">
        <v>132</v>
      </c>
    </row>
    <row r="5" spans="1:15" x14ac:dyDescent="0.2">
      <c r="F5" t="s">
        <v>133</v>
      </c>
      <c r="G5" s="106">
        <v>-9.6999999999999993</v>
      </c>
      <c r="H5" s="107">
        <f>G5-90</f>
        <v>-99.7</v>
      </c>
      <c r="I5" t="s">
        <v>134</v>
      </c>
      <c r="J5" t="s">
        <v>126</v>
      </c>
    </row>
    <row r="6" spans="1:15" x14ac:dyDescent="0.2">
      <c r="E6" t="s">
        <v>126</v>
      </c>
      <c r="H6">
        <f>G5+90</f>
        <v>80.3</v>
      </c>
      <c r="I6" t="s">
        <v>135</v>
      </c>
    </row>
    <row r="7" spans="1:15" x14ac:dyDescent="0.2">
      <c r="A7" t="s">
        <v>126</v>
      </c>
      <c r="B7" t="s">
        <v>136</v>
      </c>
      <c r="C7">
        <v>1</v>
      </c>
      <c r="H7" t="s">
        <v>126</v>
      </c>
      <c r="J7" s="4" t="s">
        <v>126</v>
      </c>
      <c r="K7" t="s">
        <v>126</v>
      </c>
    </row>
    <row r="8" spans="1:15" x14ac:dyDescent="0.2">
      <c r="A8" t="s">
        <v>137</v>
      </c>
      <c r="B8">
        <f>$D$2+$E$2</f>
        <v>1165.1016</v>
      </c>
      <c r="K8" t="s">
        <v>126</v>
      </c>
    </row>
    <row r="9" spans="1:15" x14ac:dyDescent="0.2">
      <c r="A9" t="s">
        <v>138</v>
      </c>
      <c r="B9" t="s">
        <v>139</v>
      </c>
      <c r="C9" t="s">
        <v>140</v>
      </c>
      <c r="D9" t="s">
        <v>141</v>
      </c>
      <c r="E9" t="s">
        <v>142</v>
      </c>
      <c r="F9" t="s">
        <v>143</v>
      </c>
      <c r="G9" t="s">
        <v>144</v>
      </c>
      <c r="H9" t="s">
        <v>145</v>
      </c>
      <c r="I9" t="s">
        <v>146</v>
      </c>
      <c r="J9" t="s">
        <v>147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148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149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150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151</v>
      </c>
      <c r="C16" s="108">
        <f>CHOOSE(A2,C10,C11,C12,C13,C14)</f>
        <v>8482.9058909642172</v>
      </c>
    </row>
    <row r="17" spans="1:15" x14ac:dyDescent="0.2">
      <c r="B17" t="s">
        <v>152</v>
      </c>
      <c r="C17" s="108">
        <f>CHOOSE(B2,C10,C11,C12,C13,C14)</f>
        <v>10557.517625633993</v>
      </c>
      <c r="H17" t="s">
        <v>126</v>
      </c>
      <c r="I17" t="s">
        <v>126</v>
      </c>
    </row>
    <row r="18" spans="1:15" x14ac:dyDescent="0.2">
      <c r="B18" t="s">
        <v>81</v>
      </c>
      <c r="C18" s="108">
        <f>CHOOSE(C2,C10,C11,C12,C13,C14)</f>
        <v>10557.517625633993</v>
      </c>
    </row>
    <row r="19" spans="1:15" x14ac:dyDescent="0.2">
      <c r="F19" t="s">
        <v>126</v>
      </c>
      <c r="G19" t="s">
        <v>126</v>
      </c>
      <c r="H19" t="s">
        <v>126</v>
      </c>
    </row>
    <row r="20" spans="1:15" x14ac:dyDescent="0.2">
      <c r="C20" s="109"/>
      <c r="D20" s="109"/>
      <c r="E20" s="109"/>
      <c r="F20" s="109"/>
      <c r="G20" s="109"/>
      <c r="H20" s="109"/>
      <c r="I20" t="s">
        <v>153</v>
      </c>
    </row>
    <row r="21" spans="1:15" x14ac:dyDescent="0.2">
      <c r="A21" s="107" t="s">
        <v>154</v>
      </c>
      <c r="B21" s="107"/>
      <c r="C21" s="110"/>
      <c r="D21" s="110"/>
      <c r="E21" s="110"/>
      <c r="F21" s="110"/>
      <c r="G21" s="110"/>
      <c r="I21" s="107"/>
      <c r="J21" s="107">
        <v>1</v>
      </c>
      <c r="K21" s="107">
        <v>2</v>
      </c>
      <c r="L21" s="107">
        <v>3</v>
      </c>
      <c r="M21" s="107">
        <v>4</v>
      </c>
      <c r="N21" s="107">
        <v>5</v>
      </c>
    </row>
    <row r="22" spans="1:15" x14ac:dyDescent="0.2">
      <c r="A22" s="107"/>
      <c r="B22" s="107"/>
      <c r="C22" s="107">
        <v>1</v>
      </c>
      <c r="D22" s="107">
        <v>2</v>
      </c>
      <c r="E22" s="107">
        <v>3</v>
      </c>
      <c r="F22" s="107">
        <v>4</v>
      </c>
      <c r="G22" s="107">
        <v>5</v>
      </c>
      <c r="I22" s="107" t="s">
        <v>126</v>
      </c>
      <c r="J22" s="107"/>
      <c r="K22" s="107"/>
      <c r="L22" s="107"/>
      <c r="M22" s="107"/>
      <c r="N22" s="107"/>
    </row>
    <row r="23" spans="1:15" x14ac:dyDescent="0.2">
      <c r="A23" s="107"/>
      <c r="B23" s="107" t="s">
        <v>148</v>
      </c>
      <c r="C23" s="107">
        <f>POWER(COS(MOD(CHOOSE(1,$G$10,$G$11,$G$12,$G$13,$G$14)/PI(),2)*PI()),2)</f>
        <v>0.17166721651079389</v>
      </c>
      <c r="D23" s="107">
        <f>POWER(COS(MOD(CHOOSE(2,$G$10,$G$11,$G$12,$G$13,$G$14)/PI(),2)*PI()),2)</f>
        <v>0.98404169669800579</v>
      </c>
      <c r="E23" s="107">
        <f>POWER(COS(MOD(CHOOSE(3,$G$10,$G$11,$G$12,$G$13,$G$14)/PI(),2)*PI()),2)</f>
        <v>0.96417723259127308</v>
      </c>
      <c r="F23" s="107">
        <f>POWER(COS(MOD(CHOOSE(4,$G$10,$G$11,$G$12,$G$13,$G$14)/PI(),2)*PI()),2)</f>
        <v>0.31758025951015018</v>
      </c>
      <c r="G23" s="107">
        <f>POWER(COS(MOD(CHOOSE(5,$G$10,$G$11,$G$12,$G$13,$G$14)/PI(),2)*PI()),2)</f>
        <v>0.89072030246743894</v>
      </c>
      <c r="I23" s="107" t="s">
        <v>148</v>
      </c>
      <c r="J23" s="107">
        <f t="shared" ref="J23:N25" si="0">IF(K12&lt;-260,360+K12,IF(K12&lt;-100,180+K12,IF(K12&lt;=0,-K12,IF(K12&lt;=100,-K12,IF(K12&lt;=260,180-K12,360-K12)))))</f>
        <v>65.523031520479435</v>
      </c>
      <c r="K23" s="107">
        <f t="shared" si="0"/>
        <v>-7.2573473451240034</v>
      </c>
      <c r="L23" s="107">
        <f t="shared" si="0"/>
        <v>10.91012896807274</v>
      </c>
      <c r="M23" s="107">
        <f t="shared" si="0"/>
        <v>-55.698852212641157</v>
      </c>
      <c r="N23" s="107">
        <f t="shared" si="0"/>
        <v>-19.303667136195486</v>
      </c>
    </row>
    <row r="24" spans="1:15" x14ac:dyDescent="0.2">
      <c r="A24" s="107"/>
      <c r="B24" s="107" t="s">
        <v>149</v>
      </c>
      <c r="C24" s="107">
        <f>POWER(COS(MOD(CHOOSE(1,$H$10,$H$11,$H$12,$H$13,$H$14)/PI(),2)*PI()),2)</f>
        <v>7.8064629539450453E-2</v>
      </c>
      <c r="D24" s="107">
        <f>POWER(COS(MOD(CHOOSE(2,$H$10,$H$11,$H$12,$H$13,$H$14)/PI(),2)*PI()),2)</f>
        <v>0.999778882852986</v>
      </c>
      <c r="E24" s="107">
        <f>POWER(COS(MOD(CHOOSE(3,$H$10,$H$11,$H$12,$H$13,$H$14)/PI(),2)*PI()),2)</f>
        <v>0.93033566382922228</v>
      </c>
      <c r="F24" s="107">
        <f>POWER(COS(MOD(CHOOSE(4,$H$10,$H$11,$H$12,$H$13,$H$14)/PI(),2)*PI()),2)</f>
        <v>0.34901453142888167</v>
      </c>
      <c r="G24" s="107">
        <f>POWER(COS(MOD(CHOOSE(5,$H$10,$H$11,$H$12,$H$13,$H$14)/PI(),2)*PI()),2)</f>
        <v>0.87344023828403639</v>
      </c>
      <c r="I24" s="107" t="s">
        <v>149</v>
      </c>
      <c r="J24" s="107">
        <f t="shared" si="0"/>
        <v>73.775573109765261</v>
      </c>
      <c r="K24" s="107">
        <f t="shared" si="0"/>
        <v>-0.85202011858950755</v>
      </c>
      <c r="L24" s="107">
        <f t="shared" si="0"/>
        <v>15.303978358595032</v>
      </c>
      <c r="M24" s="107">
        <f t="shared" si="0"/>
        <v>-53.788010351886726</v>
      </c>
      <c r="N24" s="107">
        <f t="shared" si="0"/>
        <v>-20.839563555895779</v>
      </c>
    </row>
    <row r="25" spans="1:15" x14ac:dyDescent="0.2">
      <c r="A25" s="107"/>
      <c r="B25" s="107" t="s">
        <v>150</v>
      </c>
      <c r="C25" s="107">
        <f>POWER(COS(MOD(CHOOSE(1,$I$10,$I$11,$I$12,$I$13,$I$14)/PI(),2)*PI()),2)</f>
        <v>1.9234129890718689E-2</v>
      </c>
      <c r="D25" s="107">
        <f>POWER(COS(MOD(CHOOSE(2,$I$10,$I$11,$I$12,$I$13,$I$14)/PI(),2)*PI()),2)</f>
        <v>0.9906352163739216</v>
      </c>
      <c r="E25" s="107">
        <f>POWER(COS(MOD(CHOOSE(3,$I$10,$I$11,$I$12,$I$13,$I$14)/PI(),2)*PI()),2)</f>
        <v>0.88639085013150043</v>
      </c>
      <c r="F25" s="107">
        <f>POWER(COS(MOD(CHOOSE(4,$I$10,$I$11,$I$12,$I$13,$I$14)/PI(),2)*PI()),2)</f>
        <v>0.38112029149292498</v>
      </c>
      <c r="G25" s="107">
        <f>POWER(COS(MOD(CHOOSE(5,$I$10,$I$11,$I$12,$I$13,$I$14)/PI(),2)*PI()),2)</f>
        <v>0.85508703587323498</v>
      </c>
      <c r="I25" s="107" t="s">
        <v>150</v>
      </c>
      <c r="J25" s="107">
        <f t="shared" si="0"/>
        <v>82.028114699051173</v>
      </c>
      <c r="K25" s="107">
        <f t="shared" si="0"/>
        <v>5.5533071079453293</v>
      </c>
      <c r="L25" s="107">
        <f t="shared" si="0"/>
        <v>19.697827749117323</v>
      </c>
      <c r="M25" s="107">
        <f t="shared" si="0"/>
        <v>-51.877168491132295</v>
      </c>
      <c r="N25" s="107">
        <f t="shared" si="0"/>
        <v>-22.375459975598631</v>
      </c>
    </row>
    <row r="27" spans="1:15" ht="17" thickBot="1" x14ac:dyDescent="0.25">
      <c r="O27" s="111" t="s">
        <v>126</v>
      </c>
    </row>
    <row r="28" spans="1:15" x14ac:dyDescent="0.2">
      <c r="A28" s="10"/>
      <c r="B28" s="112" t="s">
        <v>155</v>
      </c>
      <c r="C28" s="112" t="s">
        <v>156</v>
      </c>
      <c r="D28" s="5" t="s">
        <v>157</v>
      </c>
    </row>
    <row r="29" spans="1:15" x14ac:dyDescent="0.2">
      <c r="A29" s="15">
        <v>102.5</v>
      </c>
      <c r="B29" s="113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13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13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14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3"/>
  <sheetViews>
    <sheetView tabSelected="1" topLeftCell="A72" zoomScale="125" zoomScaleNormal="125" workbookViewId="0">
      <selection activeCell="U94" sqref="U94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2.16406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 t="s">
        <v>225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 t="s">
        <v>211</v>
      </c>
      <c r="G2" s="14">
        <f>1/137.03</f>
        <v>7.2976720426184043E-3</v>
      </c>
      <c r="J2" s="182" t="s">
        <v>230</v>
      </c>
      <c r="K2" s="182"/>
      <c r="L2" s="182"/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82"/>
      <c r="K3" s="182"/>
      <c r="L3" s="182"/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82"/>
      <c r="K4" s="182"/>
      <c r="L4" s="182"/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82"/>
      <c r="K5" s="182"/>
      <c r="L5" s="182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109</v>
      </c>
      <c r="F6">
        <v>30</v>
      </c>
      <c r="G6" s="6" t="s">
        <v>68</v>
      </c>
      <c r="J6" s="182"/>
      <c r="K6" s="182"/>
      <c r="L6" s="182"/>
      <c r="O6" s="1"/>
      <c r="P6" s="1"/>
    </row>
    <row r="7" spans="1:26" ht="20" x14ac:dyDescent="0.25">
      <c r="B7" s="15" t="s">
        <v>46</v>
      </c>
      <c r="C7">
        <v>0.16</v>
      </c>
      <c r="D7" t="s">
        <v>44</v>
      </c>
      <c r="E7" s="17"/>
      <c r="F7" t="s">
        <v>227</v>
      </c>
      <c r="G7" s="6">
        <v>0.12</v>
      </c>
      <c r="O7" s="167" t="s">
        <v>226</v>
      </c>
      <c r="P7" s="1"/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95</v>
      </c>
      <c r="F8" t="s">
        <v>28</v>
      </c>
      <c r="G8" s="6" t="s">
        <v>29</v>
      </c>
      <c r="H8">
        <f>14*0.02</f>
        <v>0.28000000000000003</v>
      </c>
      <c r="I8" t="s">
        <v>96</v>
      </c>
      <c r="R8" s="1" t="s">
        <v>175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105</v>
      </c>
      <c r="G9" s="6" t="s">
        <v>106</v>
      </c>
      <c r="J9" t="s">
        <v>63</v>
      </c>
      <c r="K9">
        <v>1900</v>
      </c>
      <c r="L9" t="s">
        <v>54</v>
      </c>
      <c r="M9">
        <v>2.5255000000000001</v>
      </c>
      <c r="N9" s="1" t="s">
        <v>69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 t="s">
        <v>212</v>
      </c>
      <c r="G10" s="145">
        <f>0.1973^2*10000000</f>
        <v>389272.9</v>
      </c>
      <c r="H10" t="s">
        <v>213</v>
      </c>
      <c r="I10" s="1"/>
      <c r="O10" t="s">
        <v>76</v>
      </c>
      <c r="P10" t="s">
        <v>77</v>
      </c>
    </row>
    <row r="11" spans="1:26" x14ac:dyDescent="0.2">
      <c r="B11" s="15" t="s">
        <v>56</v>
      </c>
      <c r="C11" s="4">
        <f>E11*D11</f>
        <v>0.123</v>
      </c>
      <c r="D11" s="34">
        <v>1</v>
      </c>
      <c r="E11">
        <v>0.123</v>
      </c>
      <c r="F11" t="s">
        <v>57</v>
      </c>
      <c r="I11" t="s">
        <v>78</v>
      </c>
      <c r="J11">
        <v>0.11799999999999999</v>
      </c>
    </row>
    <row r="12" spans="1:26" ht="17" thickBot="1" x14ac:dyDescent="0.25">
      <c r="B12" s="15" t="s">
        <v>58</v>
      </c>
      <c r="C12" s="4">
        <f>E12*D11</f>
        <v>2.1800000000000002</v>
      </c>
      <c r="D12" s="3" t="s">
        <v>53</v>
      </c>
      <c r="E12" s="34">
        <f>2*1.09</f>
        <v>2.1800000000000002</v>
      </c>
      <c r="F12" t="s">
        <v>53</v>
      </c>
      <c r="I12" t="s">
        <v>79</v>
      </c>
      <c r="J12">
        <f>2*1.047</f>
        <v>2.0939999999999999</v>
      </c>
    </row>
    <row r="13" spans="1:26" ht="17" thickBot="1" x14ac:dyDescent="0.25">
      <c r="A13" s="10"/>
      <c r="B13" s="5"/>
      <c r="C13" s="179" t="s">
        <v>81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1"/>
      <c r="N13" s="51"/>
    </row>
    <row r="14" spans="1:26" ht="17" thickBot="1" x14ac:dyDescent="0.25">
      <c r="A14" s="15"/>
      <c r="B14" s="6"/>
      <c r="C14" s="48" t="s">
        <v>80</v>
      </c>
      <c r="D14" s="180" t="s">
        <v>82</v>
      </c>
      <c r="E14" s="180"/>
      <c r="F14" s="49"/>
      <c r="G14" s="49"/>
      <c r="H14" s="49"/>
      <c r="I14" s="179" t="s">
        <v>89</v>
      </c>
      <c r="J14" s="180"/>
      <c r="K14" s="180"/>
      <c r="L14" s="181"/>
      <c r="M14" s="179" t="s">
        <v>101</v>
      </c>
      <c r="N14" s="180"/>
      <c r="O14" s="180"/>
      <c r="P14" s="181"/>
      <c r="Q14" s="52"/>
      <c r="R14" s="189" t="s">
        <v>107</v>
      </c>
      <c r="S14" s="190"/>
      <c r="T14" s="190"/>
      <c r="U14" s="191"/>
    </row>
    <row r="15" spans="1:26" ht="17" thickBot="1" x14ac:dyDescent="0.25">
      <c r="A15" s="15" t="s">
        <v>64</v>
      </c>
      <c r="B15" s="6"/>
      <c r="C15" s="39" t="s">
        <v>84</v>
      </c>
      <c r="D15" s="40" t="s">
        <v>85</v>
      </c>
      <c r="E15" s="40" t="s">
        <v>86</v>
      </c>
      <c r="F15" s="40" t="s">
        <v>87</v>
      </c>
      <c r="G15" s="40" t="s">
        <v>88</v>
      </c>
      <c r="H15" s="40" t="s">
        <v>254</v>
      </c>
      <c r="I15" s="40" t="s">
        <v>253</v>
      </c>
      <c r="J15" s="40" t="s">
        <v>90</v>
      </c>
      <c r="K15" s="40" t="s">
        <v>91</v>
      </c>
      <c r="L15" s="40" t="s">
        <v>92</v>
      </c>
      <c r="M15" s="117" t="s">
        <v>102</v>
      </c>
      <c r="N15" s="118" t="s">
        <v>103</v>
      </c>
      <c r="O15" s="118" t="s">
        <v>104</v>
      </c>
      <c r="P15" s="118" t="s">
        <v>221</v>
      </c>
      <c r="Q15" s="52"/>
      <c r="R15" s="137" t="s">
        <v>167</v>
      </c>
      <c r="S15" s="137" t="s">
        <v>168</v>
      </c>
      <c r="T15" s="137" t="s">
        <v>169</v>
      </c>
      <c r="U15" s="137" t="s">
        <v>170</v>
      </c>
    </row>
    <row r="16" spans="1:26" ht="17" thickBot="1" x14ac:dyDescent="0.25">
      <c r="A16" s="15" t="s">
        <v>55</v>
      </c>
      <c r="B16" s="6"/>
      <c r="C16" s="31">
        <v>3</v>
      </c>
      <c r="D16" s="32">
        <v>4</v>
      </c>
      <c r="E16" s="32">
        <v>5</v>
      </c>
      <c r="F16" s="32">
        <v>4</v>
      </c>
      <c r="G16" s="32">
        <v>5</v>
      </c>
      <c r="H16" s="32">
        <v>5</v>
      </c>
      <c r="I16" s="32">
        <v>3</v>
      </c>
      <c r="J16" s="32">
        <v>4</v>
      </c>
      <c r="K16" s="32">
        <v>5</v>
      </c>
      <c r="L16" s="33">
        <v>5</v>
      </c>
      <c r="M16" s="119">
        <v>3</v>
      </c>
      <c r="N16" s="120">
        <v>4</v>
      </c>
      <c r="O16" s="120">
        <v>5</v>
      </c>
      <c r="P16" s="121">
        <v>5</v>
      </c>
      <c r="Q16" s="122" t="s">
        <v>55</v>
      </c>
      <c r="R16" s="123">
        <v>3</v>
      </c>
      <c r="S16" s="116">
        <v>4</v>
      </c>
      <c r="T16" s="116">
        <v>5</v>
      </c>
      <c r="U16" s="116">
        <v>5</v>
      </c>
    </row>
    <row r="17" spans="1:27" x14ac:dyDescent="0.2">
      <c r="A17" s="15" t="s">
        <v>6</v>
      </c>
      <c r="B17" s="6" t="s">
        <v>23</v>
      </c>
      <c r="C17" s="46">
        <f>CHOOSE(C16,Accel2023!C10,Accel2023!C11,Accel2023!C12,Accel2023!C13,Accel2023!C14)/1000</f>
        <v>6.39696971456525</v>
      </c>
      <c r="D17" s="35">
        <f>CHOOSE(D16,Accel2023!$C10,Accel2023!$C11,Accel2023!$C12,Accel2023!$C13,Accel2023!$C14)/1000</f>
        <v>8.4829058909642168</v>
      </c>
      <c r="E17" s="35">
        <f>CHOOSE(E16,Accel2023!$C10,Accel2023!$C11,Accel2023!$C12,Accel2023!$C13,Accel2023!$C14)/1000</f>
        <v>10.557517625633993</v>
      </c>
      <c r="F17" s="35">
        <f>CHOOSE(F16,Accel2023!$C10,Accel2023!$C11,Accel2023!$C12,Accel2023!$C13,Accel2023!$C14)/1000</f>
        <v>8.4829058909642168</v>
      </c>
      <c r="G17" s="35">
        <f>CHOOSE(G16,Accel2023!$C10,Accel2023!$C11,Accel2023!$C12,Accel2023!$C13,Accel2023!$C14)/1000</f>
        <v>10.557517625633993</v>
      </c>
      <c r="H17" s="35">
        <f>CHOOSE(H16,Accel2023!$C10,Accel2023!$C11,Accel2023!$C12,Accel2023!$C13,Accel2023!$C14)/1000</f>
        <v>10.557517625633993</v>
      </c>
      <c r="I17" s="63">
        <f>CHOOSE(I16,Accel2023!$C10,Accel2023!$C11,Accel2023!$C12,Accel2023!$C13,Accel2023!$C14)/1000</f>
        <v>6.39696971456525</v>
      </c>
      <c r="J17" s="63">
        <f>CHOOSE(J16,Accel2023!$C10,Accel2023!$C11,Accel2023!$C12,Accel2023!$C13,Accel2023!$C14)/1000</f>
        <v>8.4829058909642168</v>
      </c>
      <c r="K17" s="63">
        <f>CHOOSE(K16,Accel2023!$C10,Accel2023!$C11,Accel2023!$C12,Accel2023!$C13,Accel2023!$C14)/1000</f>
        <v>10.557517625633993</v>
      </c>
      <c r="L17" s="63">
        <f>CHOOSE(L16,Accel2023!$C10,Accel2023!$C11,Accel2023!$C12,Accel2023!$C13,Accel2023!$C14)/1000</f>
        <v>10.557517625633993</v>
      </c>
      <c r="M17" s="76">
        <f>CHOOSE(M16,Accel2023!$C10,Accel2023!$C11,Accel2023!$C12,Accel2023!$C13,Accel2023!$C14)/1000</f>
        <v>6.39696971456525</v>
      </c>
      <c r="N17" s="76">
        <f>CHOOSE(N16,Accel2023!$C10,Accel2023!$C11,Accel2023!$C12,Accel2023!$C13,Accel2023!$C14)/1000</f>
        <v>8.4829058909642168</v>
      </c>
      <c r="O17" s="76">
        <f>CHOOSE(O16,Accel2023!$C10,Accel2023!$C11,Accel2023!$C12,Accel2023!$C13,Accel2023!$C14)/1000</f>
        <v>10.557517625633993</v>
      </c>
      <c r="P17" s="76">
        <f>CHOOSE(P16,Accel2023!$C10,Accel2023!$C11,Accel2023!$C12,Accel2023!$C13,Accel2023!$C14)/1000</f>
        <v>10.557517625633993</v>
      </c>
      <c r="Q17" s="30" t="s">
        <v>6</v>
      </c>
      <c r="R17" s="93">
        <f>CHOOSE(R16,Accel2023!$C10,Accel2023!$C11,Accel2023!$C12,Accel2023!$C13,Accel2023!$C14)/1000</f>
        <v>6.39696971456525</v>
      </c>
      <c r="S17" s="93">
        <f>CHOOSE(S16,Accel2023!$C10,Accel2023!$C11,Accel2023!$C12,Accel2023!$C13,Accel2023!$C14)/1000</f>
        <v>8.4829058909642168</v>
      </c>
      <c r="T17" s="93">
        <f>CHOOSE(T16,Accel2023!$C10,Accel2023!$C11,Accel2023!$C12,Accel2023!$C13,Accel2023!$C14)/1000</f>
        <v>10.557517625633993</v>
      </c>
      <c r="U17" s="93">
        <f>CHOOSE(U16,Accel2023!$C10,Accel2023!$C11,Accel2023!$C12,Accel2023!$C13,Accel2023!$C14)/1000</f>
        <v>10.557517625633993</v>
      </c>
      <c r="V17" t="s">
        <v>171</v>
      </c>
    </row>
    <row r="18" spans="1:27" x14ac:dyDescent="0.2">
      <c r="A18" s="15" t="s">
        <v>0</v>
      </c>
      <c r="B18" s="6" t="s">
        <v>24</v>
      </c>
      <c r="C18" s="47">
        <v>3</v>
      </c>
      <c r="D18" s="36">
        <v>3</v>
      </c>
      <c r="E18" s="36">
        <v>3</v>
      </c>
      <c r="F18" s="36">
        <v>4</v>
      </c>
      <c r="G18" s="36">
        <v>4</v>
      </c>
      <c r="H18" s="36">
        <v>5.5</v>
      </c>
      <c r="I18" s="64">
        <v>3.4</v>
      </c>
      <c r="J18" s="64">
        <v>3.4</v>
      </c>
      <c r="K18" s="64">
        <v>3.4</v>
      </c>
      <c r="L18" s="64">
        <v>4.8</v>
      </c>
      <c r="M18" s="77">
        <v>5.0999999999999996</v>
      </c>
      <c r="N18" s="77">
        <v>5.0999999999999996</v>
      </c>
      <c r="O18" s="77">
        <v>5.0999999999999996</v>
      </c>
      <c r="P18" s="78">
        <v>6</v>
      </c>
      <c r="Q18" s="30" t="s">
        <v>0</v>
      </c>
      <c r="R18" s="94">
        <v>2.1</v>
      </c>
      <c r="S18" s="94">
        <v>2.4</v>
      </c>
      <c r="T18" s="94">
        <v>2.4</v>
      </c>
      <c r="U18" s="94">
        <v>3</v>
      </c>
    </row>
    <row r="19" spans="1:27" x14ac:dyDescent="0.2">
      <c r="A19" s="15" t="s">
        <v>1</v>
      </c>
      <c r="B19" s="6"/>
      <c r="C19" s="47">
        <v>0.36</v>
      </c>
      <c r="D19" s="36">
        <v>0.36</v>
      </c>
      <c r="E19" s="36">
        <v>0.36</v>
      </c>
      <c r="F19" s="36">
        <v>0.36</v>
      </c>
      <c r="G19" s="36">
        <v>0.36</v>
      </c>
      <c r="H19" s="36">
        <v>0.36</v>
      </c>
      <c r="I19" s="64">
        <v>0.48220000000000002</v>
      </c>
      <c r="J19" s="64">
        <v>0.48220000000000002</v>
      </c>
      <c r="K19" s="64">
        <v>0.48220000000000002</v>
      </c>
      <c r="L19" s="64">
        <v>0.48220000000000002</v>
      </c>
      <c r="M19" s="77">
        <v>0.58069999999999999</v>
      </c>
      <c r="N19" s="77">
        <v>0.58069999999999999</v>
      </c>
      <c r="O19" s="77">
        <v>0.58069999999999999</v>
      </c>
      <c r="P19" s="77">
        <v>0.58069999999999999</v>
      </c>
      <c r="Q19" s="30" t="s">
        <v>1</v>
      </c>
      <c r="R19" s="95">
        <v>0.24</v>
      </c>
      <c r="S19" s="95">
        <v>0.24</v>
      </c>
      <c r="T19" s="95">
        <v>0.25</v>
      </c>
      <c r="U19" s="95">
        <v>0.25</v>
      </c>
    </row>
    <row r="20" spans="1:27" x14ac:dyDescent="0.2">
      <c r="A20" s="15" t="s">
        <v>3</v>
      </c>
      <c r="B20" s="6" t="s">
        <v>23</v>
      </c>
      <c r="C20" s="54">
        <f t="shared" ref="C20:M20" si="0">C18/(2*MProton*C19)</f>
        <v>4.4406550854382045</v>
      </c>
      <c r="D20" s="54">
        <f t="shared" si="0"/>
        <v>4.4406550854382045</v>
      </c>
      <c r="E20" s="54">
        <f t="shared" si="0"/>
        <v>4.4406550854382045</v>
      </c>
      <c r="F20" s="54">
        <f t="shared" si="0"/>
        <v>5.9208734472509388</v>
      </c>
      <c r="G20" s="54">
        <f t="shared" si="0"/>
        <v>5.9208734472509388</v>
      </c>
      <c r="H20" s="54">
        <f t="shared" si="0"/>
        <v>8.1412009899700415</v>
      </c>
      <c r="I20" s="65">
        <f t="shared" si="0"/>
        <v>3.7573357006611094</v>
      </c>
      <c r="J20" s="65">
        <f t="shared" ref="J20" si="1">J18/(2*MProton*J19)</f>
        <v>3.7573357006611094</v>
      </c>
      <c r="K20" s="65">
        <f t="shared" si="0"/>
        <v>3.7573357006611094</v>
      </c>
      <c r="L20" s="65">
        <f t="shared" si="0"/>
        <v>5.3044739303450958</v>
      </c>
      <c r="M20" s="79">
        <f t="shared" si="0"/>
        <v>4.680008459252937</v>
      </c>
      <c r="N20" s="79">
        <f t="shared" ref="N20" si="2">N18/(2*MProton*N19)</f>
        <v>4.680008459252937</v>
      </c>
      <c r="O20" s="79">
        <f t="shared" ref="O20" si="3">O18/(2*MProton*O19)</f>
        <v>4.680008459252937</v>
      </c>
      <c r="P20" s="79">
        <f t="shared" ref="P20" si="4">P18/(2*MProton*P19)</f>
        <v>5.5058923050034556</v>
      </c>
      <c r="Q20" s="30" t="s">
        <v>3</v>
      </c>
      <c r="R20" s="95">
        <f>R18/(2*MProton*R19)</f>
        <v>4.6626878397101139</v>
      </c>
      <c r="S20" s="95">
        <f>S18/(2*MProton*S19)</f>
        <v>5.3287861025258447</v>
      </c>
      <c r="T20" s="95">
        <f>T18/(2*MProton*T19)</f>
        <v>5.1156346584248107</v>
      </c>
      <c r="U20" s="95">
        <f>U18/(2*MProton*U19)</f>
        <v>6.3945433230310131</v>
      </c>
      <c r="V20" s="50"/>
    </row>
    <row r="21" spans="1:27" x14ac:dyDescent="0.2">
      <c r="A21" s="29" t="s">
        <v>4</v>
      </c>
      <c r="B21" s="16" t="s">
        <v>23</v>
      </c>
      <c r="C21" s="37">
        <f>C17-C20</f>
        <v>1.9563146291270455</v>
      </c>
      <c r="D21" s="38">
        <f>D17-D20</f>
        <v>4.0422508055260122</v>
      </c>
      <c r="E21" s="38">
        <f>E17-E20</f>
        <v>6.1168625401957888</v>
      </c>
      <c r="F21" s="38">
        <f t="shared" ref="F21:H21" si="5">F17-F20</f>
        <v>2.562032443713278</v>
      </c>
      <c r="G21" s="38">
        <f t="shared" ref="G21" si="6">G17-G20</f>
        <v>4.6366441783830545</v>
      </c>
      <c r="H21" s="38">
        <f t="shared" si="5"/>
        <v>2.4163166356639518</v>
      </c>
      <c r="I21" s="66">
        <f t="shared" ref="I21:M21" si="7">I17-I20</f>
        <v>2.6396340139041405</v>
      </c>
      <c r="J21" s="66">
        <f t="shared" ref="J21" si="8">J17-J20</f>
        <v>4.7255701903031078</v>
      </c>
      <c r="K21" s="66">
        <f t="shared" si="7"/>
        <v>6.8001819249728843</v>
      </c>
      <c r="L21" s="66">
        <f t="shared" si="7"/>
        <v>5.2530436952888975</v>
      </c>
      <c r="M21" s="80">
        <f t="shared" si="7"/>
        <v>1.716961255312313</v>
      </c>
      <c r="N21" s="80">
        <f t="shared" ref="N21" si="9">N17-N20</f>
        <v>3.8028974317112798</v>
      </c>
      <c r="O21" s="80">
        <f t="shared" ref="O21" si="10">O17-O20</f>
        <v>5.8775091663810564</v>
      </c>
      <c r="P21" s="80">
        <f t="shared" ref="P21" si="11">P17-P20</f>
        <v>5.0516253206305377</v>
      </c>
      <c r="Q21" s="30" t="s">
        <v>4</v>
      </c>
      <c r="R21" s="96">
        <f>R17-R20</f>
        <v>1.7342818748551361</v>
      </c>
      <c r="S21" s="96">
        <f t="shared" ref="S21:U21" si="12">S17-S20</f>
        <v>3.154119788438372</v>
      </c>
      <c r="T21" s="96">
        <f t="shared" si="12"/>
        <v>5.4418829672091826</v>
      </c>
      <c r="U21" s="96">
        <f t="shared" si="12"/>
        <v>4.1629743026029802</v>
      </c>
      <c r="V21" s="1" t="s">
        <v>164</v>
      </c>
    </row>
    <row r="22" spans="1:27" x14ac:dyDescent="0.2">
      <c r="A22" s="29" t="s">
        <v>228</v>
      </c>
      <c r="B22" s="16" t="s">
        <v>23</v>
      </c>
      <c r="C22" s="37">
        <f>IF(C21&lt;6.6,C21,C21/(1.02))</f>
        <v>1.9563146291270455</v>
      </c>
      <c r="D22" s="37">
        <f t="shared" ref="D22:P22" si="13">IF(D21&lt;6.6,D21,D21/(1.02))</f>
        <v>4.0422508055260122</v>
      </c>
      <c r="E22" s="37">
        <f t="shared" si="13"/>
        <v>6.1168625401957888</v>
      </c>
      <c r="F22" s="37">
        <f t="shared" si="13"/>
        <v>2.562032443713278</v>
      </c>
      <c r="G22" s="37">
        <f t="shared" si="13"/>
        <v>4.6366441783830545</v>
      </c>
      <c r="H22" s="37">
        <f t="shared" si="13"/>
        <v>2.4163166356639518</v>
      </c>
      <c r="I22" s="67">
        <f t="shared" si="13"/>
        <v>2.6396340139041405</v>
      </c>
      <c r="J22" s="67">
        <f t="shared" si="13"/>
        <v>4.7255701903031078</v>
      </c>
      <c r="K22" s="67">
        <f t="shared" si="13"/>
        <v>6.6668450244832194</v>
      </c>
      <c r="L22" s="67">
        <f t="shared" si="13"/>
        <v>5.2530436952888975</v>
      </c>
      <c r="M22" s="81">
        <f t="shared" si="13"/>
        <v>1.716961255312313</v>
      </c>
      <c r="N22" s="81">
        <f t="shared" si="13"/>
        <v>3.8028974317112798</v>
      </c>
      <c r="O22" s="81">
        <f t="shared" si="13"/>
        <v>5.8775091663810564</v>
      </c>
      <c r="P22" s="81">
        <f t="shared" si="13"/>
        <v>5.0516253206305377</v>
      </c>
      <c r="Q22" s="29" t="s">
        <v>228</v>
      </c>
      <c r="R22" s="97">
        <f>IF(R21&lt;6.6,R21,R21/(1.02))</f>
        <v>1.7342818748551361</v>
      </c>
      <c r="S22" s="97">
        <f t="shared" ref="S22:U22" si="14">IF(S21&lt;6.6,S21,S21/(1.02))</f>
        <v>3.154119788438372</v>
      </c>
      <c r="T22" s="97">
        <f t="shared" si="14"/>
        <v>5.4418829672091826</v>
      </c>
      <c r="U22" s="97">
        <f t="shared" si="14"/>
        <v>4.1629743026029802</v>
      </c>
      <c r="V22" s="1" t="s">
        <v>229</v>
      </c>
    </row>
    <row r="23" spans="1:27" s="1" customFormat="1" x14ac:dyDescent="0.2">
      <c r="A23" s="15" t="s">
        <v>5</v>
      </c>
      <c r="B23" s="6"/>
      <c r="C23" s="54">
        <f>1-C18/(2*C17*C21)</f>
        <v>0.88013889921175514</v>
      </c>
      <c r="D23" s="36">
        <f>1-D18/(2*D17*D21)</f>
        <v>0.95625551038338708</v>
      </c>
      <c r="E23" s="36">
        <f>1-E18/(2*E17*E21)</f>
        <v>0.97677259337429267</v>
      </c>
      <c r="F23" s="36">
        <f t="shared" ref="F23:H23" si="15">1-F18/(2*F17*F21)</f>
        <v>0.90797608160715026</v>
      </c>
      <c r="G23" s="36">
        <f t="shared" ref="G23" si="16">1-G18/(2*G17*G21)</f>
        <v>0.95914319407785376</v>
      </c>
      <c r="H23" s="36">
        <f t="shared" si="15"/>
        <v>0.89220042844177405</v>
      </c>
      <c r="I23" s="64">
        <f t="shared" ref="I23:M23" si="17">1-I18/(2*I17*I21)</f>
        <v>0.8993228504935934</v>
      </c>
      <c r="J23" s="64">
        <f t="shared" ref="J23" si="18">1-J18/(2*J17*J21)</f>
        <v>0.95759177902947745</v>
      </c>
      <c r="K23" s="64">
        <f t="shared" si="17"/>
        <v>0.97632082458912284</v>
      </c>
      <c r="L23" s="64">
        <f t="shared" si="17"/>
        <v>0.95672486680524504</v>
      </c>
      <c r="M23" s="77">
        <f t="shared" si="17"/>
        <v>0.76783037988965841</v>
      </c>
      <c r="N23" s="77">
        <f t="shared" ref="N23" si="19">1-N18/(2*N17*N21)</f>
        <v>0.92095381412170707</v>
      </c>
      <c r="O23" s="77">
        <f t="shared" ref="O23" si="20">1-O18/(2*O17*O21)</f>
        <v>0.95890537230932427</v>
      </c>
      <c r="P23" s="77">
        <f t="shared" ref="P23" si="21">1-P18/(2*P17*P21)</f>
        <v>0.94374925119072361</v>
      </c>
      <c r="Q23" s="30" t="s">
        <v>5</v>
      </c>
      <c r="R23" s="95">
        <f>1-R18/(2*R17*R21)</f>
        <v>0.90535551352145061</v>
      </c>
      <c r="S23" s="95">
        <f t="shared" ref="S23:U23" si="22">1-S18/(2*S17*S21)</f>
        <v>0.95515041653440158</v>
      </c>
      <c r="T23" s="95">
        <f t="shared" si="22"/>
        <v>0.97911328055369073</v>
      </c>
      <c r="U23" s="95">
        <f t="shared" si="22"/>
        <v>0.96587083100516691</v>
      </c>
      <c r="V23"/>
      <c r="W23"/>
      <c r="X23"/>
      <c r="Y23"/>
      <c r="Z23"/>
      <c r="AA23"/>
    </row>
    <row r="24" spans="1:27" s="1" customFormat="1" x14ac:dyDescent="0.2">
      <c r="A24" s="29" t="s">
        <v>7</v>
      </c>
      <c r="B24" s="16"/>
      <c r="C24" s="37">
        <f>1/(1+2*((C20^2+C18)/C18)*(1-C23)/(1+C23))</f>
        <v>0.5087522323323147</v>
      </c>
      <c r="D24" s="38">
        <f>1/(1+2*((D20^2+D18)/D18)*(1-D23)/(1+D23))</f>
        <v>0.7469983501730777</v>
      </c>
      <c r="E24" s="38">
        <f>1/(1+2*((E20^2+E18)/E18)*(1-E23)/(1+E23))</f>
        <v>0.84891712479967418</v>
      </c>
      <c r="F24" s="38">
        <f t="shared" ref="F24:H24" si="23">1/(1+2*((F20^2+F18)/F18)*(1-F23)/(1+F23))</f>
        <v>0.51496589055844277</v>
      </c>
      <c r="G24" s="38">
        <f t="shared" ref="G24" si="24">1/(1+2*((G20^2+G18)/G18)*(1-G23)/(1+G23))</f>
        <v>0.71060429500435207</v>
      </c>
      <c r="H24" s="38">
        <f t="shared" si="23"/>
        <v>0.4020883434596611</v>
      </c>
      <c r="I24" s="66">
        <f t="shared" ref="I24:M24" si="25">1/(1+2*((I20^2+I18)/I18)*(1-I23)/(1+I23))</f>
        <v>0.6467440220957773</v>
      </c>
      <c r="J24" s="66">
        <f t="shared" ref="J24" si="26">1/(1+2*((J20^2+J18)/J18)*(1-J23)/(1+J23))</f>
        <v>0.81750762858856729</v>
      </c>
      <c r="K24" s="66">
        <f t="shared" si="25"/>
        <v>0.89010558240901638</v>
      </c>
      <c r="L24" s="66">
        <f t="shared" si="25"/>
        <v>0.76715356016329717</v>
      </c>
      <c r="M24" s="80">
        <f t="shared" si="25"/>
        <v>0.41829044279054745</v>
      </c>
      <c r="N24" s="80">
        <f t="shared" ref="N24" si="27">1/(1+2*((N20^2+N18)/N18)*(1-N23)/(1+N23))</f>
        <v>0.69650492532846542</v>
      </c>
      <c r="O24" s="80">
        <f t="shared" ref="O24" si="28">1/(1+2*((O20^2+O18)/O18)*(1-O23)/(1+O23))</f>
        <v>0.81823402604192796</v>
      </c>
      <c r="P24" s="80">
        <f t="shared" ref="P24" si="29">1/(1+2*((P20^2+P18)/P18)*(1-P23)/(1+P23))</f>
        <v>0.74057133188497926</v>
      </c>
      <c r="Q24" s="30" t="s">
        <v>7</v>
      </c>
      <c r="R24" s="96">
        <f>1/(1+2*((R20^2+R18)/R18)*(1-R23)/(1+R23))</f>
        <v>0.46995972203442726</v>
      </c>
      <c r="S24" s="96">
        <f t="shared" ref="S24:U24" si="30">1/(1+2*((S20^2+S18)/S18)*(1-S23)/(1+S23))</f>
        <v>0.62944721858602104</v>
      </c>
      <c r="T24" s="96">
        <f t="shared" si="30"/>
        <v>0.79919406773436574</v>
      </c>
      <c r="U24" s="96">
        <f t="shared" si="30"/>
        <v>0.6631386311552292</v>
      </c>
    </row>
    <row r="25" spans="1:27" x14ac:dyDescent="0.2">
      <c r="A25" s="15" t="s">
        <v>184</v>
      </c>
      <c r="B25" s="6" t="s">
        <v>25</v>
      </c>
      <c r="C25" s="54">
        <f t="shared" ref="C25:L25" si="31">ACOS(C23)*180/3.14159</f>
        <v>28.340900647724478</v>
      </c>
      <c r="D25" s="36">
        <f t="shared" si="31"/>
        <v>17.009662315704151</v>
      </c>
      <c r="E25" s="36">
        <f t="shared" si="31"/>
        <v>12.373215848507318</v>
      </c>
      <c r="F25" s="36">
        <v>24.77287848112319</v>
      </c>
      <c r="G25" s="36">
        <f t="shared" ref="G25" si="32">ACOS(G23)*180/3.14159</f>
        <v>16.434634960983246</v>
      </c>
      <c r="H25" s="36">
        <f t="shared" ref="H25" si="33">ACOS(H23)*180/3.14159</f>
        <v>26.848955195857581</v>
      </c>
      <c r="I25" s="64">
        <f t="shared" si="31"/>
        <v>25.930820686144617</v>
      </c>
      <c r="J25" s="64">
        <f t="shared" ref="J25" si="34">ACOS(J23)*180/3.14159</f>
        <v>16.7459543564344</v>
      </c>
      <c r="K25" s="64">
        <f t="shared" si="31"/>
        <v>12.493439185672143</v>
      </c>
      <c r="L25" s="64">
        <f t="shared" si="31"/>
        <v>16.917491191895994</v>
      </c>
      <c r="M25" s="77">
        <f t="shared" ref="M25:P25" si="35">ACOS(M23)*180/3.14159</f>
        <v>39.840577020083629</v>
      </c>
      <c r="N25" s="77">
        <f t="shared" si="35"/>
        <v>22.934095604767009</v>
      </c>
      <c r="O25" s="77">
        <f t="shared" si="35"/>
        <v>16.482729067967174</v>
      </c>
      <c r="P25" s="77">
        <f t="shared" si="35"/>
        <v>19.308976745467319</v>
      </c>
      <c r="Q25" s="30" t="s">
        <v>8</v>
      </c>
      <c r="R25" s="95">
        <f t="shared" ref="R25:U25" si="36">ACOS(R23)*180/3.14159</f>
        <v>25.128813833074584</v>
      </c>
      <c r="S25" s="95">
        <f t="shared" si="36"/>
        <v>17.224787720889836</v>
      </c>
      <c r="T25" s="95">
        <f t="shared" si="36"/>
        <v>11.730916422404212</v>
      </c>
      <c r="U25" s="95">
        <f t="shared" si="36"/>
        <v>15.012182377002773</v>
      </c>
      <c r="V25" s="1" t="s">
        <v>172</v>
      </c>
    </row>
    <row r="26" spans="1:27" x14ac:dyDescent="0.2">
      <c r="A26" s="15" t="s">
        <v>9</v>
      </c>
      <c r="B26" s="6"/>
      <c r="C26" s="54">
        <f>C21*SIN(ACOS(C23))/SQRT(C20^2+C18)</f>
        <v>0.19483824270287445</v>
      </c>
      <c r="D26" s="36">
        <f>D21*SIN(ACOS(D23))/SQRT(D20^2+D18)</f>
        <v>0.24808421111972248</v>
      </c>
      <c r="E26" s="36">
        <f>E21*SIN(ACOS(E23))/SQRT(E20^2+E18)</f>
        <v>0.27498489658136238</v>
      </c>
      <c r="F26" s="36">
        <v>0.17178033302443471</v>
      </c>
      <c r="G26" s="36">
        <f t="shared" ref="G26" si="37">G21*SIN(ACOS(G23))/SQRT(G20^2+G18)</f>
        <v>0.20990416498041362</v>
      </c>
      <c r="H26" s="36">
        <f t="shared" ref="H26" si="38">H21*SIN(ACOS(H23))/SQRT(H20^2+H18)</f>
        <v>0.12880916447824187</v>
      </c>
      <c r="I26" s="64">
        <f t="shared" ref="I26:L26" si="39">I21*SIN(ACOS(I23))/SQRT(I20^2+I18)</f>
        <v>0.27578562017039998</v>
      </c>
      <c r="J26" s="64">
        <f t="shared" ref="J26" si="40">J21*SIN(ACOS(J23))/SQRT(J20^2+J18)</f>
        <v>0.32531445517120605</v>
      </c>
      <c r="K26" s="64">
        <f t="shared" si="39"/>
        <v>0.35147593269425481</v>
      </c>
      <c r="L26" s="64">
        <f t="shared" si="39"/>
        <v>0.26634843976790396</v>
      </c>
      <c r="M26" s="77">
        <f t="shared" ref="M26:P26" si="41">M21*SIN(ACOS(M23))/SQRT(M20^2+M18)</f>
        <v>0.2116808968899869</v>
      </c>
      <c r="N26" s="77">
        <f t="shared" si="41"/>
        <v>0.28517517285239696</v>
      </c>
      <c r="O26" s="77">
        <f t="shared" si="41"/>
        <v>0.32091554077493628</v>
      </c>
      <c r="P26" s="77">
        <f t="shared" si="41"/>
        <v>0.27718726752585765</v>
      </c>
      <c r="Q26" s="30" t="s">
        <v>9</v>
      </c>
      <c r="R26" s="95">
        <f>R21*SIN(ACOS(R23))/SQRT(R20^2+R18)</f>
        <v>0.15083295431421684</v>
      </c>
      <c r="S26" s="95">
        <f t="shared" ref="S26:U26" si="42">S21*SIN(ACOS(S23))/SQRT(S20^2+S18)</f>
        <v>0.16830638604334255</v>
      </c>
      <c r="T26" s="95">
        <f t="shared" si="42"/>
        <v>0.20699824543557599</v>
      </c>
      <c r="U26" s="95">
        <f t="shared" si="42"/>
        <v>0.16276475697195283</v>
      </c>
    </row>
    <row r="27" spans="1:27" x14ac:dyDescent="0.2">
      <c r="A27" s="29" t="s">
        <v>11</v>
      </c>
      <c r="B27" s="16" t="s">
        <v>25</v>
      </c>
      <c r="C27" s="37">
        <f t="shared" ref="C27:L27" si="43">ASIN(C26)*180/3.14159</f>
        <v>11.235283828852049</v>
      </c>
      <c r="D27" s="38">
        <f t="shared" si="43"/>
        <v>14.36418671348361</v>
      </c>
      <c r="E27" s="38">
        <f t="shared" si="43"/>
        <v>15.96112758181641</v>
      </c>
      <c r="F27" s="38">
        <v>9.8913558902957472</v>
      </c>
      <c r="G27" s="38">
        <f t="shared" ref="G27" si="44">ASIN(G26)*180/3.14159</f>
        <v>12.116746363405195</v>
      </c>
      <c r="H27" s="38">
        <f t="shared" ref="H27" si="45">ASIN(H26)*180/3.14159</f>
        <v>7.4007901644024408</v>
      </c>
      <c r="I27" s="66">
        <f t="shared" si="43"/>
        <v>16.008850979820647</v>
      </c>
      <c r="J27" s="66">
        <f t="shared" ref="J27" si="46">ASIN(J26)*180/3.14159</f>
        <v>18.98464327884793</v>
      </c>
      <c r="K27" s="66">
        <f t="shared" si="43"/>
        <v>20.57763373133151</v>
      </c>
      <c r="L27" s="66">
        <f t="shared" si="43"/>
        <v>15.447105759616884</v>
      </c>
      <c r="M27" s="80">
        <f t="shared" ref="M27:P27" si="47">ASIN(M26)*180/3.14159</f>
        <v>12.220885628742932</v>
      </c>
      <c r="N27" s="80">
        <f t="shared" si="47"/>
        <v>16.569333786759227</v>
      </c>
      <c r="O27" s="80">
        <f t="shared" si="47"/>
        <v>18.718317751466902</v>
      </c>
      <c r="P27" s="80">
        <f t="shared" si="47"/>
        <v>16.092417125062617</v>
      </c>
      <c r="Q27" s="30" t="s">
        <v>11</v>
      </c>
      <c r="R27" s="96">
        <f t="shared" ref="R27:U27" si="48">ASIN(R26)*180/3.14159</f>
        <v>8.6752078812903459</v>
      </c>
      <c r="S27" s="96">
        <f t="shared" si="48"/>
        <v>9.6893715267828355</v>
      </c>
      <c r="T27" s="96">
        <f t="shared" si="48"/>
        <v>11.946509597097561</v>
      </c>
      <c r="U27" s="96">
        <f t="shared" si="48"/>
        <v>9.3674171070101178</v>
      </c>
      <c r="V27" s="1" t="s">
        <v>173</v>
      </c>
    </row>
    <row r="28" spans="1:27" s="1" customFormat="1" x14ac:dyDescent="0.2">
      <c r="A28" s="29" t="s">
        <v>110</v>
      </c>
      <c r="B28" s="16" t="s">
        <v>25</v>
      </c>
      <c r="C28" s="37">
        <f>C27</f>
        <v>11.235283828852049</v>
      </c>
      <c r="D28" s="37">
        <f t="shared" ref="D28:L28" si="49">D27</f>
        <v>14.36418671348361</v>
      </c>
      <c r="E28" s="37">
        <f t="shared" si="49"/>
        <v>15.96112758181641</v>
      </c>
      <c r="F28" s="37">
        <f t="shared" ref="F28:H28" si="50">F27</f>
        <v>9.8913558902957472</v>
      </c>
      <c r="G28" s="37">
        <f t="shared" ref="G28" si="51">G27</f>
        <v>12.116746363405195</v>
      </c>
      <c r="H28" s="37">
        <f t="shared" si="50"/>
        <v>7.4007901644024408</v>
      </c>
      <c r="I28" s="67">
        <f t="shared" si="49"/>
        <v>16.008850979820647</v>
      </c>
      <c r="J28" s="67">
        <f t="shared" ref="J28" si="52">J27</f>
        <v>18.98464327884793</v>
      </c>
      <c r="K28" s="67">
        <f t="shared" si="49"/>
        <v>20.57763373133151</v>
      </c>
      <c r="L28" s="67">
        <f t="shared" si="49"/>
        <v>15.447105759616884</v>
      </c>
      <c r="M28" s="81">
        <f t="shared" ref="M28:P28" si="53">M27</f>
        <v>12.220885628742932</v>
      </c>
      <c r="N28" s="81">
        <f t="shared" si="53"/>
        <v>16.569333786759227</v>
      </c>
      <c r="O28" s="81">
        <f t="shared" si="53"/>
        <v>18.718317751466902</v>
      </c>
      <c r="P28" s="81">
        <f t="shared" si="53"/>
        <v>16.092417125062617</v>
      </c>
      <c r="Q28" s="30" t="str">
        <f>A28</f>
        <v>SHMS</v>
      </c>
      <c r="R28" s="97">
        <f t="shared" ref="R28:U28" si="54">R27</f>
        <v>8.6752078812903459</v>
      </c>
      <c r="S28" s="97">
        <f t="shared" si="54"/>
        <v>9.6893715267828355</v>
      </c>
      <c r="T28" s="97">
        <f t="shared" si="54"/>
        <v>11.946509597097561</v>
      </c>
      <c r="U28" s="97">
        <f t="shared" si="54"/>
        <v>9.3674171070101178</v>
      </c>
      <c r="V28" s="1" t="s">
        <v>174</v>
      </c>
      <c r="W28"/>
      <c r="X28"/>
      <c r="Y28"/>
      <c r="Z28"/>
      <c r="AA28"/>
    </row>
    <row r="29" spans="1:27" s="1" customFormat="1" x14ac:dyDescent="0.2">
      <c r="A29" s="29" t="s">
        <v>183</v>
      </c>
      <c r="B29" s="16" t="s">
        <v>25</v>
      </c>
      <c r="C29" s="37">
        <f>C25+C28</f>
        <v>39.576184476576529</v>
      </c>
      <c r="D29" s="37">
        <f t="shared" ref="D29:I29" si="55">D25+D28</f>
        <v>31.37384902918776</v>
      </c>
      <c r="E29" s="37">
        <f t="shared" si="55"/>
        <v>28.334343430323727</v>
      </c>
      <c r="F29" s="37">
        <f t="shared" si="55"/>
        <v>34.664234371418935</v>
      </c>
      <c r="G29" s="37">
        <f t="shared" si="55"/>
        <v>28.551381324388441</v>
      </c>
      <c r="H29" s="37">
        <f t="shared" si="55"/>
        <v>34.249745360260022</v>
      </c>
      <c r="I29" s="67">
        <f t="shared" si="55"/>
        <v>41.939671665965264</v>
      </c>
      <c r="J29" s="67">
        <f t="shared" ref="J29" si="56">J25+J28</f>
        <v>35.730597635282329</v>
      </c>
      <c r="K29" s="67">
        <f t="shared" ref="K29" si="57">K25+K28</f>
        <v>33.071072917003654</v>
      </c>
      <c r="L29" s="67">
        <f t="shared" ref="L29" si="58">L25+L28</f>
        <v>32.36459695151288</v>
      </c>
      <c r="M29" s="81">
        <f t="shared" ref="M29" si="59">M25+M28</f>
        <v>52.061462648826563</v>
      </c>
      <c r="N29" s="81">
        <f t="shared" ref="N29" si="60">N25+N28</f>
        <v>39.50342939152624</v>
      </c>
      <c r="O29" s="81">
        <f t="shared" ref="O29" si="61">O25+O28</f>
        <v>35.201046819434076</v>
      </c>
      <c r="P29" s="81">
        <f t="shared" ref="P29:R29" si="62">P25+P28</f>
        <v>35.401393870529937</v>
      </c>
      <c r="Q29" s="135" t="s">
        <v>185</v>
      </c>
      <c r="R29" s="134">
        <f t="shared" si="62"/>
        <v>33.804021714364929</v>
      </c>
      <c r="S29" s="134">
        <f t="shared" ref="S29" si="63">S25+S28</f>
        <v>26.914159247672671</v>
      </c>
      <c r="T29" s="134">
        <f t="shared" ref="T29" si="64">T25+T28</f>
        <v>23.677426019501773</v>
      </c>
      <c r="U29" s="134">
        <f t="shared" ref="U29" si="65">U25+U28</f>
        <v>24.379599484012893</v>
      </c>
      <c r="V29" s="1" t="s">
        <v>186</v>
      </c>
      <c r="W29"/>
      <c r="X29"/>
      <c r="Y29"/>
      <c r="Z29"/>
      <c r="AA29"/>
    </row>
    <row r="30" spans="1:27" s="1" customFormat="1" x14ac:dyDescent="0.2">
      <c r="A30" s="15" t="s">
        <v>10</v>
      </c>
      <c r="B30" s="6" t="s">
        <v>26</v>
      </c>
      <c r="C30" s="54">
        <f t="shared" ref="C30:L30" si="66">C19*MProton/SQRT(1-C19)</f>
        <v>0.42223499999999997</v>
      </c>
      <c r="D30" s="54">
        <f t="shared" si="66"/>
        <v>0.42223499999999997</v>
      </c>
      <c r="E30" s="54">
        <f t="shared" si="66"/>
        <v>0.42223499999999997</v>
      </c>
      <c r="F30" s="54">
        <f t="shared" si="66"/>
        <v>0.42223499999999997</v>
      </c>
      <c r="G30" s="54">
        <f t="shared" ref="G30" si="67">G19*MProton/SQRT(1-G19)</f>
        <v>0.42223499999999997</v>
      </c>
      <c r="H30" s="54">
        <f t="shared" si="66"/>
        <v>0.42223499999999997</v>
      </c>
      <c r="I30" s="65">
        <f t="shared" si="66"/>
        <v>0.62876433470728832</v>
      </c>
      <c r="J30" s="65">
        <f t="shared" ref="J30" si="68">J19*MProton/SQRT(1-J19)</f>
        <v>0.62876433470728832</v>
      </c>
      <c r="K30" s="65">
        <f t="shared" si="66"/>
        <v>0.62876433470728832</v>
      </c>
      <c r="L30" s="65">
        <f t="shared" si="66"/>
        <v>0.62876433470728832</v>
      </c>
      <c r="M30" s="79">
        <f t="shared" ref="M30:P30" si="69">M19*MProton/SQRT(1-M19)</f>
        <v>0.8414554180597188</v>
      </c>
      <c r="N30" s="79">
        <f t="shared" si="69"/>
        <v>0.8414554180597188</v>
      </c>
      <c r="O30" s="79">
        <f t="shared" si="69"/>
        <v>0.8414554180597188</v>
      </c>
      <c r="P30" s="79">
        <f t="shared" si="69"/>
        <v>0.8414554180597188</v>
      </c>
      <c r="Q30" s="30" t="s">
        <v>10</v>
      </c>
      <c r="R30" s="95">
        <f>R19*MProton/SQRT(1-R19)</f>
        <v>0.25831293970889774</v>
      </c>
      <c r="S30" s="95">
        <f>S19*MProton/SQRT(1-S19)</f>
        <v>0.25831293970889774</v>
      </c>
      <c r="T30" s="95">
        <f>T19*MProton/SQRT(1-T19)</f>
        <v>0.27086387879031293</v>
      </c>
      <c r="U30" s="95">
        <f>U19*MProton/SQRT(1-U19)</f>
        <v>0.27086387879031293</v>
      </c>
      <c r="V30"/>
      <c r="W30"/>
      <c r="X30"/>
      <c r="Y30"/>
      <c r="Z30"/>
      <c r="AA30"/>
    </row>
    <row r="31" spans="1:27" x14ac:dyDescent="0.2">
      <c r="A31" s="15" t="s">
        <v>12</v>
      </c>
      <c r="B31" s="6"/>
      <c r="C31" s="54">
        <f t="shared" ref="C31:L31" si="70">1/(1-C24)</f>
        <v>2.03563265996655</v>
      </c>
      <c r="D31" s="36">
        <f t="shared" si="70"/>
        <v>3.9525433952074902</v>
      </c>
      <c r="E31" s="36">
        <f t="shared" si="70"/>
        <v>6.6188838322944719</v>
      </c>
      <c r="F31" s="36">
        <f t="shared" ref="F31:H31" si="71">1/(1-F24)</f>
        <v>2.0617106725779499</v>
      </c>
      <c r="G31" s="36">
        <f t="shared" ref="G31" si="72">1/(1-G24)</f>
        <v>3.4554763002271871</v>
      </c>
      <c r="H31" s="36">
        <f t="shared" si="71"/>
        <v>1.6724878818824864</v>
      </c>
      <c r="I31" s="64">
        <f t="shared" si="70"/>
        <v>2.8308084294361953</v>
      </c>
      <c r="J31" s="64">
        <f t="shared" ref="J31" si="73">1/(1-J24)</f>
        <v>5.4796811081241303</v>
      </c>
      <c r="K31" s="64">
        <f t="shared" si="70"/>
        <v>9.0996432932735782</v>
      </c>
      <c r="L31" s="64">
        <f t="shared" si="70"/>
        <v>4.2946759276255566</v>
      </c>
      <c r="M31" s="77">
        <f t="shared" ref="M31:P31" si="74">1/(1-M24)</f>
        <v>1.7190709480469066</v>
      </c>
      <c r="N31" s="77">
        <f t="shared" si="74"/>
        <v>3.294946387786609</v>
      </c>
      <c r="O31" s="77">
        <f t="shared" si="74"/>
        <v>5.5015797413803647</v>
      </c>
      <c r="P31" s="77">
        <f t="shared" si="74"/>
        <v>3.8546241140807087</v>
      </c>
      <c r="Q31" s="30" t="s">
        <v>12</v>
      </c>
      <c r="R31" s="95">
        <f t="shared" ref="R31:U31" si="75">1/(1-R24)</f>
        <v>1.88664907474249</v>
      </c>
      <c r="S31" s="95">
        <f t="shared" si="75"/>
        <v>2.6986708780976794</v>
      </c>
      <c r="T31" s="95">
        <f t="shared" si="75"/>
        <v>4.9799325583527052</v>
      </c>
      <c r="U31" s="95">
        <f t="shared" si="75"/>
        <v>2.9685802305838469</v>
      </c>
    </row>
    <row r="32" spans="1:27" x14ac:dyDescent="0.2">
      <c r="A32" s="15" t="s">
        <v>13</v>
      </c>
      <c r="B32" s="6" t="s">
        <v>26</v>
      </c>
      <c r="C32" s="54">
        <f>SQRT(C18+C20^2)</f>
        <v>4.7664890210539861</v>
      </c>
      <c r="D32" s="36">
        <f>SQRT(D18+D20^2)</f>
        <v>4.7664890210539861</v>
      </c>
      <c r="E32" s="36">
        <f>SQRT(E18+E20^2)</f>
        <v>4.7664890210539861</v>
      </c>
      <c r="F32" s="36">
        <f t="shared" ref="F32:H32" si="76">SQRT(F18+F20^2)</f>
        <v>6.2495393732947404</v>
      </c>
      <c r="G32" s="36">
        <f t="shared" ref="G32" si="77">SQRT(G18+G20^2)</f>
        <v>6.2495393732947404</v>
      </c>
      <c r="H32" s="36">
        <f t="shared" si="76"/>
        <v>8.4722578784577358</v>
      </c>
      <c r="I32" s="64">
        <f t="shared" ref="I32:L32" si="78">SQRT(I18+I20^2)</f>
        <v>4.1853998097508569</v>
      </c>
      <c r="J32" s="64">
        <f t="shared" ref="J32" si="79">SQRT(J18+J20^2)</f>
        <v>4.1853998097508569</v>
      </c>
      <c r="K32" s="64">
        <f t="shared" si="78"/>
        <v>4.1853998097508569</v>
      </c>
      <c r="L32" s="64">
        <f t="shared" si="78"/>
        <v>5.7391152347474907</v>
      </c>
      <c r="M32" s="77">
        <f t="shared" ref="M32:P32" si="80">SQRT(M18+M20^2)</f>
        <v>5.1963909763102931</v>
      </c>
      <c r="N32" s="77">
        <f t="shared" si="80"/>
        <v>5.1963909763102931</v>
      </c>
      <c r="O32" s="77">
        <f t="shared" si="80"/>
        <v>5.1963909763102931</v>
      </c>
      <c r="P32" s="77">
        <f t="shared" si="80"/>
        <v>6.0261803884630156</v>
      </c>
      <c r="Q32" s="30" t="s">
        <v>13</v>
      </c>
      <c r="R32" s="95">
        <f>SQRT(R18+R20^2)</f>
        <v>4.8826896164491727</v>
      </c>
      <c r="S32" s="95">
        <f t="shared" ref="S32:U32" si="81">SQRT(S18+S20^2)</f>
        <v>5.5494108990479862</v>
      </c>
      <c r="T32" s="95">
        <f t="shared" si="81"/>
        <v>5.3450648226637183</v>
      </c>
      <c r="U32" s="95">
        <f t="shared" si="81"/>
        <v>6.6249667403029662</v>
      </c>
    </row>
    <row r="33" spans="1:30" x14ac:dyDescent="0.2">
      <c r="A33" s="15" t="s">
        <v>83</v>
      </c>
      <c r="B33" s="6" t="s">
        <v>23</v>
      </c>
      <c r="C33" s="54">
        <f t="shared" ref="C33:P33" si="82">C18*(1-C19)/(C19*2*(MProton+C20-C32))</f>
        <v>4.3539827293905162</v>
      </c>
      <c r="D33" s="36">
        <f t="shared" si="82"/>
        <v>4.3539827293905162</v>
      </c>
      <c r="E33" s="36">
        <f t="shared" si="82"/>
        <v>4.3539827293905162</v>
      </c>
      <c r="F33" s="36">
        <f t="shared" si="82"/>
        <v>5.832278259123389</v>
      </c>
      <c r="G33" s="36">
        <f t="shared" si="82"/>
        <v>5.832278259123389</v>
      </c>
      <c r="H33" s="36">
        <f t="shared" si="82"/>
        <v>8.0509581684893554</v>
      </c>
      <c r="I33" s="64">
        <f t="shared" si="82"/>
        <v>3.5777727918622921</v>
      </c>
      <c r="J33" s="64">
        <f t="shared" ref="J33" si="83">J18*(1-J19)/(J19*2*(MProton+J20-J32))</f>
        <v>3.5777727918622921</v>
      </c>
      <c r="K33" s="64">
        <f t="shared" si="82"/>
        <v>3.5777727918622921</v>
      </c>
      <c r="L33" s="64">
        <f t="shared" si="82"/>
        <v>5.1169331759176693</v>
      </c>
      <c r="M33" s="77">
        <f t="shared" si="82"/>
        <v>4.3640095794924303</v>
      </c>
      <c r="N33" s="77">
        <f t="shared" si="82"/>
        <v>4.3640095794924303</v>
      </c>
      <c r="O33" s="77">
        <f t="shared" si="82"/>
        <v>4.3640095794924303</v>
      </c>
      <c r="P33" s="77">
        <f t="shared" si="82"/>
        <v>5.1820980791947804</v>
      </c>
      <c r="Q33" s="30" t="s">
        <v>14</v>
      </c>
      <c r="R33" s="95">
        <f>R18*(1-R19)/(R19*2*(MProton+R20-R32))</f>
        <v>4.6289965536948072</v>
      </c>
      <c r="S33" s="95">
        <f>S18*(1-S19)/(S19*2*(MProton+S20-S32))</f>
        <v>5.2948743130390685</v>
      </c>
      <c r="T33" s="95">
        <f>T18*(1-T19)/(T19*2*(MProton+T20-T32))</f>
        <v>5.0785064032733001</v>
      </c>
      <c r="U33" s="95">
        <f>U18*(1-U19)/(U19*2*(MProton+U20-U32))</f>
        <v>6.357040351098628</v>
      </c>
    </row>
    <row r="34" spans="1:30" x14ac:dyDescent="0.2">
      <c r="A34" s="15" t="s">
        <v>15</v>
      </c>
      <c r="B34" s="6" t="s">
        <v>24</v>
      </c>
      <c r="C34" s="54">
        <f>-C18-2*C33*(C20-C32)</f>
        <v>-0.16264934335909143</v>
      </c>
      <c r="D34" s="36">
        <f>-D18-2*D33*(D20-D32)</f>
        <v>-0.16264934335909143</v>
      </c>
      <c r="E34" s="36">
        <f>-E18-2*E33*(E20-E32)</f>
        <v>-0.16264934335909143</v>
      </c>
      <c r="F34" s="36">
        <f t="shared" ref="F34:H34" si="84">-F18-2*F33*(F20-F32)</f>
        <v>-0.1662577300401602</v>
      </c>
      <c r="G34" s="36">
        <f t="shared" ref="G34" si="85">-G18-2*G33*(G20-G32)</f>
        <v>-0.1662577300401602</v>
      </c>
      <c r="H34" s="36">
        <f t="shared" si="84"/>
        <v>-0.16934967879065521</v>
      </c>
      <c r="I34" s="64">
        <f>-I18-2*I33*(I20-I32)</f>
        <v>-0.3369677546518588</v>
      </c>
      <c r="J34" s="64">
        <f>-J18-2*J33*(J20-J32)</f>
        <v>-0.3369677546518588</v>
      </c>
      <c r="K34" s="64">
        <f t="shared" ref="K34:M34" si="86">-K18-2*K33*(K20-K32)</f>
        <v>-0.3369677546518588</v>
      </c>
      <c r="L34" s="64">
        <f t="shared" si="86"/>
        <v>-0.35193897975850952</v>
      </c>
      <c r="M34" s="77">
        <f t="shared" si="86"/>
        <v>-0.59300349775856809</v>
      </c>
      <c r="N34" s="77">
        <f t="shared" ref="N34" si="87">-N18-2*N33*(N20-N32)</f>
        <v>-0.59300349775856809</v>
      </c>
      <c r="O34" s="77">
        <f t="shared" ref="O34" si="88">-O18-2*O33*(O20-O32)</f>
        <v>-0.59300349775856809</v>
      </c>
      <c r="P34" s="77">
        <f t="shared" ref="P34" si="89">-P18-2*P33*(P20-P32)</f>
        <v>-0.60763224415256101</v>
      </c>
      <c r="Q34" s="30" t="s">
        <v>15</v>
      </c>
      <c r="R34" s="95">
        <f>-R18-2*R33*(R20-R32)</f>
        <v>-6.3225067336325491E-2</v>
      </c>
      <c r="S34" s="95">
        <f t="shared" ref="S34:U34" si="90">-S18-2*S33*(S20-S32)</f>
        <v>-6.3638864150883379E-2</v>
      </c>
      <c r="T34" s="95">
        <f t="shared" si="90"/>
        <v>-6.9674883617325545E-2</v>
      </c>
      <c r="U34" s="95">
        <f t="shared" si="90"/>
        <v>-7.0378077128316008E-2</v>
      </c>
    </row>
    <row r="35" spans="1:30" x14ac:dyDescent="0.2">
      <c r="A35" s="15" t="s">
        <v>16</v>
      </c>
      <c r="B35" s="6" t="s">
        <v>23</v>
      </c>
      <c r="C35" s="54">
        <f t="shared" ref="C35:L35" si="91">SQRT(-C34)</f>
        <v>0.40329808251353172</v>
      </c>
      <c r="D35" s="36">
        <f t="shared" si="91"/>
        <v>0.40329808251353172</v>
      </c>
      <c r="E35" s="36">
        <f t="shared" si="91"/>
        <v>0.40329808251353172</v>
      </c>
      <c r="F35" s="36">
        <f t="shared" si="91"/>
        <v>0.40774713983075367</v>
      </c>
      <c r="G35" s="36">
        <f t="shared" ref="G35" si="92">SQRT(-G34)</f>
        <v>0.40774713983075367</v>
      </c>
      <c r="H35" s="36">
        <f t="shared" si="91"/>
        <v>0.41152117660049431</v>
      </c>
      <c r="I35" s="64">
        <f t="shared" si="91"/>
        <v>0.58048923732646307</v>
      </c>
      <c r="J35" s="64">
        <f t="shared" ref="J35" si="93">SQRT(-J34)</f>
        <v>0.58048923732646307</v>
      </c>
      <c r="K35" s="64">
        <f t="shared" si="91"/>
        <v>0.58048923732646307</v>
      </c>
      <c r="L35" s="64">
        <f t="shared" si="91"/>
        <v>0.59324445194077413</v>
      </c>
      <c r="M35" s="77">
        <f t="shared" ref="M35:P35" si="94">SQRT(-M34)</f>
        <v>0.77006720340407175</v>
      </c>
      <c r="N35" s="77">
        <f t="shared" si="94"/>
        <v>0.77006720340407175</v>
      </c>
      <c r="O35" s="77">
        <f t="shared" si="94"/>
        <v>0.77006720340407175</v>
      </c>
      <c r="P35" s="77">
        <f t="shared" si="94"/>
        <v>0.7795076934530929</v>
      </c>
      <c r="Q35" s="30" t="s">
        <v>16</v>
      </c>
      <c r="R35" s="95">
        <f t="shared" ref="R35:U35" si="95">SQRT(-R34)</f>
        <v>0.25144595311184764</v>
      </c>
      <c r="S35" s="95">
        <f t="shared" si="95"/>
        <v>0.25226744568192577</v>
      </c>
      <c r="T35" s="95">
        <f t="shared" si="95"/>
        <v>0.26396000382127127</v>
      </c>
      <c r="U35" s="95">
        <f t="shared" si="95"/>
        <v>0.26528866754596964</v>
      </c>
    </row>
    <row r="36" spans="1:30" x14ac:dyDescent="0.2">
      <c r="A36" s="15" t="s">
        <v>17</v>
      </c>
      <c r="B36" s="6" t="s">
        <v>59</v>
      </c>
      <c r="C36" s="54">
        <v>3</v>
      </c>
      <c r="D36" s="36">
        <v>3</v>
      </c>
      <c r="E36" s="36">
        <v>3</v>
      </c>
      <c r="F36" s="36">
        <v>4</v>
      </c>
      <c r="G36" s="36">
        <v>3</v>
      </c>
      <c r="H36" s="36">
        <v>4</v>
      </c>
      <c r="I36" s="64">
        <v>3</v>
      </c>
      <c r="J36" s="64">
        <v>3</v>
      </c>
      <c r="K36" s="64">
        <v>3</v>
      </c>
      <c r="L36" s="64">
        <v>3</v>
      </c>
      <c r="M36" s="77">
        <v>3</v>
      </c>
      <c r="N36" s="77">
        <v>3</v>
      </c>
      <c r="O36" s="77">
        <v>3</v>
      </c>
      <c r="P36" s="77">
        <v>3</v>
      </c>
      <c r="Q36" s="30" t="s">
        <v>17</v>
      </c>
      <c r="R36" s="95">
        <v>6</v>
      </c>
      <c r="S36" s="95">
        <v>4</v>
      </c>
      <c r="T36" s="95">
        <v>4</v>
      </c>
      <c r="U36" s="95">
        <v>6</v>
      </c>
    </row>
    <row r="37" spans="1:30" x14ac:dyDescent="0.2">
      <c r="A37" s="21" t="s">
        <v>22</v>
      </c>
      <c r="B37" s="7" t="s">
        <v>60</v>
      </c>
      <c r="C37" s="55">
        <f t="shared" ref="C37:R37" si="96">Calo_C/(C36*C36)</f>
        <v>4.2311111111111112E-2</v>
      </c>
      <c r="D37" s="24">
        <f t="shared" si="96"/>
        <v>4.2311111111111112E-2</v>
      </c>
      <c r="E37" s="24">
        <f t="shared" si="96"/>
        <v>4.2311111111111112E-2</v>
      </c>
      <c r="F37" s="24">
        <f t="shared" si="96"/>
        <v>2.3800000000000002E-2</v>
      </c>
      <c r="G37" s="24">
        <f t="shared" si="96"/>
        <v>4.2311111111111112E-2</v>
      </c>
      <c r="H37" s="24">
        <f t="shared" si="96"/>
        <v>2.3800000000000002E-2</v>
      </c>
      <c r="I37" s="68">
        <f t="shared" si="96"/>
        <v>4.2311111111111112E-2</v>
      </c>
      <c r="J37" s="68">
        <f t="shared" ref="J37" si="97">Calo_C/(J36*J36)</f>
        <v>4.2311111111111112E-2</v>
      </c>
      <c r="K37" s="68">
        <f t="shared" si="96"/>
        <v>4.2311111111111112E-2</v>
      </c>
      <c r="L37" s="68">
        <f t="shared" si="96"/>
        <v>4.2311111111111112E-2</v>
      </c>
      <c r="M37" s="82">
        <f t="shared" si="96"/>
        <v>4.2311111111111112E-2</v>
      </c>
      <c r="N37" s="82">
        <f t="shared" si="96"/>
        <v>4.2311111111111112E-2</v>
      </c>
      <c r="O37" s="82">
        <f t="shared" si="96"/>
        <v>4.2311111111111112E-2</v>
      </c>
      <c r="P37" s="82">
        <f t="shared" si="96"/>
        <v>4.2311111111111112E-2</v>
      </c>
      <c r="Q37" s="44" t="s">
        <v>22</v>
      </c>
      <c r="R37" s="98">
        <f t="shared" si="96"/>
        <v>1.0577777777777778E-2</v>
      </c>
      <c r="S37" s="98">
        <f t="shared" ref="S37" si="98">Calo_C/(S36*S36)</f>
        <v>2.3800000000000002E-2</v>
      </c>
      <c r="T37" s="98">
        <f t="shared" ref="T37" si="99">Calo_C/(T36*T36)</f>
        <v>2.3800000000000002E-2</v>
      </c>
      <c r="U37" s="98">
        <f t="shared" ref="U37" si="100">Calo_C/(U36*U36)</f>
        <v>1.0577777777777778E-2</v>
      </c>
      <c r="V37" s="4"/>
    </row>
    <row r="38" spans="1:30" s="4" customFormat="1" x14ac:dyDescent="0.2">
      <c r="A38" s="21" t="s">
        <v>31</v>
      </c>
      <c r="B38" s="7" t="s">
        <v>61</v>
      </c>
      <c r="C38" s="55">
        <f>SQRT(C37/4)</f>
        <v>0.10284832413694342</v>
      </c>
      <c r="D38" s="24">
        <f t="shared" ref="D38:L38" si="101">SQRT(D37/4)</f>
        <v>0.10284832413694342</v>
      </c>
      <c r="E38" s="24">
        <f t="shared" si="101"/>
        <v>0.10284832413694342</v>
      </c>
      <c r="F38" s="24">
        <f t="shared" ref="F38:H38" si="102">SQRT(F37/4)</f>
        <v>7.7136243102707572E-2</v>
      </c>
      <c r="G38" s="24">
        <f t="shared" si="102"/>
        <v>0.10284832413694342</v>
      </c>
      <c r="H38" s="24">
        <f t="shared" si="102"/>
        <v>7.7136243102707572E-2</v>
      </c>
      <c r="I38" s="68">
        <f t="shared" si="101"/>
        <v>0.10284832413694342</v>
      </c>
      <c r="J38" s="68">
        <f t="shared" ref="J38" si="103">SQRT(J37/4)</f>
        <v>0.10284832413694342</v>
      </c>
      <c r="K38" s="68">
        <f t="shared" si="101"/>
        <v>0.10284832413694342</v>
      </c>
      <c r="L38" s="68">
        <f t="shared" si="101"/>
        <v>0.10284832413694342</v>
      </c>
      <c r="M38" s="82">
        <f t="shared" ref="M38:P38" si="104">SQRT(M37/4)</f>
        <v>0.10284832413694342</v>
      </c>
      <c r="N38" s="82">
        <f t="shared" si="104"/>
        <v>0.10284832413694342</v>
      </c>
      <c r="O38" s="82">
        <f t="shared" si="104"/>
        <v>0.10284832413694342</v>
      </c>
      <c r="P38" s="82">
        <f t="shared" si="104"/>
        <v>0.10284832413694342</v>
      </c>
      <c r="Q38" s="44" t="s">
        <v>31</v>
      </c>
      <c r="R38" s="98">
        <f t="shared" ref="R38:U38" si="105">SQRT(R37/4)</f>
        <v>5.142416206847171E-2</v>
      </c>
      <c r="S38" s="98">
        <f t="shared" si="105"/>
        <v>7.7136243102707572E-2</v>
      </c>
      <c r="T38" s="98">
        <f t="shared" si="105"/>
        <v>7.7136243102707572E-2</v>
      </c>
      <c r="U38" s="98">
        <f t="shared" si="105"/>
        <v>5.142416206847171E-2</v>
      </c>
      <c r="W38"/>
      <c r="X38"/>
      <c r="Y38"/>
      <c r="Z38"/>
      <c r="AA38"/>
    </row>
    <row r="39" spans="1:30" s="4" customFormat="1" x14ac:dyDescent="0.2">
      <c r="A39" s="26" t="s">
        <v>32</v>
      </c>
      <c r="B39" s="27" t="s">
        <v>23</v>
      </c>
      <c r="C39" s="22">
        <f t="shared" ref="C39:P39" si="106">C18*(1/C19-1)/(2*(MProton+C20-C32*COS(C38)))</f>
        <v>4.1820010097605351</v>
      </c>
      <c r="D39" s="23">
        <f t="shared" si="106"/>
        <v>4.1820010097605351</v>
      </c>
      <c r="E39" s="23">
        <f t="shared" si="106"/>
        <v>4.1820010097605351</v>
      </c>
      <c r="F39" s="23">
        <f t="shared" si="106"/>
        <v>5.6597548552503811</v>
      </c>
      <c r="G39" s="23">
        <f t="shared" si="106"/>
        <v>5.5325774830117691</v>
      </c>
      <c r="H39" s="23">
        <f t="shared" si="106"/>
        <v>7.7302558786486379</v>
      </c>
      <c r="I39" s="69">
        <f t="shared" si="106"/>
        <v>3.4291340582455909</v>
      </c>
      <c r="J39" s="69">
        <f t="shared" ref="J39" si="107">J18*(1/J19-1)/(2*(MProton+J20-J32*COS(J38)))</f>
        <v>3.4291340582455909</v>
      </c>
      <c r="K39" s="69">
        <f t="shared" si="106"/>
        <v>3.4291340582455909</v>
      </c>
      <c r="L39" s="69">
        <f t="shared" si="106"/>
        <v>4.8263256749540053</v>
      </c>
      <c r="M39" s="84">
        <f t="shared" si="106"/>
        <v>4.0973489860257271</v>
      </c>
      <c r="N39" s="84">
        <f t="shared" si="106"/>
        <v>4.0973489860257271</v>
      </c>
      <c r="O39" s="84">
        <f t="shared" si="106"/>
        <v>4.0973489860257271</v>
      </c>
      <c r="P39" s="84">
        <f t="shared" si="106"/>
        <v>4.8152753966172339</v>
      </c>
      <c r="Q39" s="53" t="s">
        <v>32</v>
      </c>
      <c r="R39" s="99">
        <f>R18*(1/R19-1)/(2*(MProton+R20-R32*COS(R38)))</f>
        <v>4.5877711595212496</v>
      </c>
      <c r="S39" s="99">
        <f>S18*(1/S19-1)/(2*(MProton+S20-S32*COS(S38)))</f>
        <v>5.1758669941800663</v>
      </c>
      <c r="T39" s="99">
        <f>T18*(1/T19-1)/(2*(MProton+T20-T32*COS(T38)))</f>
        <v>4.9671374144183842</v>
      </c>
      <c r="U39" s="99">
        <f>U18*(1/U19-1)/(2*(MProton+U20-U32*COS(U38)))</f>
        <v>6.2793530909464366</v>
      </c>
      <c r="V39" s="3"/>
      <c r="W39"/>
      <c r="X39"/>
      <c r="Y39"/>
      <c r="Z39"/>
      <c r="AA39"/>
    </row>
    <row r="40" spans="1:30" s="3" customFormat="1" x14ac:dyDescent="0.2">
      <c r="A40" s="26" t="s">
        <v>33</v>
      </c>
      <c r="B40" s="27" t="s">
        <v>24</v>
      </c>
      <c r="C40" s="22">
        <f>-C18-2*C39*(C20-C32*COS(C38))</f>
        <v>-0.48539023841671369</v>
      </c>
      <c r="D40" s="23">
        <f>-D18-2*D39*(D20-D32*COS(D38))</f>
        <v>-0.48539023841671369</v>
      </c>
      <c r="E40" s="23">
        <f>-E18-2*E39*(E20-E32*COS(E38))</f>
        <v>-0.48539023841671369</v>
      </c>
      <c r="F40" s="23">
        <f t="shared" ref="F40:H40" si="108">-F18-2*F39*(F20-F32*COS(F38))</f>
        <v>-0.49001514974824589</v>
      </c>
      <c r="G40" s="23">
        <f t="shared" si="108"/>
        <v>-0.728676206491226</v>
      </c>
      <c r="H40" s="23">
        <f t="shared" si="108"/>
        <v>-0.77117959590574348</v>
      </c>
      <c r="I40" s="69">
        <f>-I18-2*I39*(I20-I32*COS(I38))</f>
        <v>-0.61590320215696082</v>
      </c>
      <c r="J40" s="69">
        <f>-J18-2*J39*(J20-J32*COS(J38))</f>
        <v>-0.61590320215696082</v>
      </c>
      <c r="K40" s="69">
        <f t="shared" ref="K40" si="109">-K18-2*K39*(K20-K32*COS(K38))</f>
        <v>-0.61590320215696082</v>
      </c>
      <c r="L40" s="69">
        <f t="shared" ref="L40:M40" si="110">-L18-2*L39*(L20-L32*COS(L38))</f>
        <v>-0.89729301606692236</v>
      </c>
      <c r="M40" s="84">
        <f t="shared" si="110"/>
        <v>-1.093418767458183</v>
      </c>
      <c r="N40" s="84">
        <f t="shared" ref="N40" si="111">-N18-2*N39*(N20-N32*COS(N38))</f>
        <v>-1.093418767458183</v>
      </c>
      <c r="O40" s="84">
        <f t="shared" ref="O40" si="112">-O18-2*O39*(O20-O32*COS(O38))</f>
        <v>-1.093418767458183</v>
      </c>
      <c r="P40" s="84">
        <f t="shared" ref="P40" si="113">-P18-2*P39*(P20-P32*COS(P38))</f>
        <v>-1.2960116902775836</v>
      </c>
      <c r="Q40" s="53" t="s">
        <v>33</v>
      </c>
      <c r="R40" s="99">
        <f>-R18-2*R39*(R20-R32*COS(R38))</f>
        <v>-0.14058864204242472</v>
      </c>
      <c r="S40" s="99">
        <f t="shared" ref="S40:U40" si="114">-S18-2*S39*(S20-S32*COS(S38))</f>
        <v>-0.28696799872168866</v>
      </c>
      <c r="T40" s="99">
        <f t="shared" si="114"/>
        <v>-0.2786699281024605</v>
      </c>
      <c r="U40" s="99">
        <f t="shared" si="114"/>
        <v>-0.21616598952991861</v>
      </c>
      <c r="W40"/>
      <c r="X40"/>
      <c r="Y40"/>
      <c r="Z40"/>
      <c r="AA40"/>
      <c r="AD40" s="3" t="s">
        <v>108</v>
      </c>
    </row>
    <row r="41" spans="1:30" s="3" customFormat="1" x14ac:dyDescent="0.2">
      <c r="A41" s="26" t="s">
        <v>34</v>
      </c>
      <c r="B41" s="27" t="s">
        <v>24</v>
      </c>
      <c r="C41" s="22">
        <f t="shared" ref="C41:I41" si="115">C34-C40</f>
        <v>0.32274089505762227</v>
      </c>
      <c r="D41" s="23">
        <f t="shared" si="115"/>
        <v>0.32274089505762227</v>
      </c>
      <c r="E41" s="23">
        <f t="shared" si="115"/>
        <v>0.32274089505762227</v>
      </c>
      <c r="F41" s="23">
        <f t="shared" ref="F41:H41" si="116">F34-F40</f>
        <v>0.32375741970808569</v>
      </c>
      <c r="G41" s="23">
        <f t="shared" si="116"/>
        <v>0.5624184764510658</v>
      </c>
      <c r="H41" s="23">
        <f t="shared" si="116"/>
        <v>0.60182991711508826</v>
      </c>
      <c r="I41" s="69">
        <f t="shared" si="115"/>
        <v>0.27893544750510202</v>
      </c>
      <c r="J41" s="69">
        <f t="shared" ref="J41" si="117">J34-J40</f>
        <v>0.27893544750510202</v>
      </c>
      <c r="K41" s="69">
        <f t="shared" ref="K41:L41" si="118">K34-K40</f>
        <v>0.27893544750510202</v>
      </c>
      <c r="L41" s="69">
        <f t="shared" si="118"/>
        <v>0.54535403630841284</v>
      </c>
      <c r="M41" s="84">
        <f t="shared" ref="M41:P41" si="119">M34-M40</f>
        <v>0.50041526969961492</v>
      </c>
      <c r="N41" s="84">
        <f t="shared" si="119"/>
        <v>0.50041526969961492</v>
      </c>
      <c r="O41" s="84">
        <f t="shared" si="119"/>
        <v>0.50041526969961492</v>
      </c>
      <c r="P41" s="84">
        <f t="shared" si="119"/>
        <v>0.68837944612502255</v>
      </c>
      <c r="Q41" s="53" t="s">
        <v>34</v>
      </c>
      <c r="R41" s="99">
        <f t="shared" ref="R41:U41" si="120">R34-R40</f>
        <v>7.7363574706099225E-2</v>
      </c>
      <c r="S41" s="99">
        <f t="shared" si="120"/>
        <v>0.22332913457080528</v>
      </c>
      <c r="T41" s="99">
        <f t="shared" si="120"/>
        <v>0.20899504448513495</v>
      </c>
      <c r="U41" s="99">
        <f t="shared" si="120"/>
        <v>0.1457879124016026</v>
      </c>
      <c r="W41"/>
      <c r="X41"/>
      <c r="Y41"/>
      <c r="Z41"/>
      <c r="AA41"/>
      <c r="AC41" s="3">
        <v>0.2</v>
      </c>
      <c r="AD41" s="3">
        <f>Y43</f>
        <v>0</v>
      </c>
    </row>
    <row r="42" spans="1:30" s="3" customFormat="1" x14ac:dyDescent="0.2">
      <c r="A42" s="26" t="s">
        <v>40</v>
      </c>
      <c r="B42" s="27" t="s">
        <v>39</v>
      </c>
      <c r="C42" s="22">
        <f>C$27-($H$8+0.02)/C$36*180/PI()</f>
        <v>5.5057058775438152</v>
      </c>
      <c r="D42" s="22">
        <f>D$27-($H$8+0.02)/D$36*180/PI()</f>
        <v>8.6346087621753753</v>
      </c>
      <c r="E42" s="22">
        <f t="shared" ref="E42:G42" si="121">E$27-($H$8+0.02)/E$36*180/PI()</f>
        <v>10.231549630508177</v>
      </c>
      <c r="F42" s="22">
        <f t="shared" si="121"/>
        <v>5.5941724268145725</v>
      </c>
      <c r="G42" s="22">
        <f t="shared" si="121"/>
        <v>6.387168412096961</v>
      </c>
      <c r="H42" s="22">
        <f>H$27-($H$8+0.02)/H$36*180/PI()</f>
        <v>3.103606700921266</v>
      </c>
      <c r="I42" s="70">
        <f>I$27-($H$8+0.02)/I$36*180/PI()</f>
        <v>10.279273028512414</v>
      </c>
      <c r="J42" s="70">
        <f>J$27-($H$8+0.02)/J$36*180/PI()</f>
        <v>13.255065327539697</v>
      </c>
      <c r="K42" s="70">
        <f t="shared" ref="K42:U42" si="122">K$27-($H$8+0.02)/K$36*180/PI()</f>
        <v>14.848055780023277</v>
      </c>
      <c r="L42" s="70">
        <f t="shared" si="122"/>
        <v>9.7175278083086489</v>
      </c>
      <c r="M42" s="85">
        <f t="shared" si="122"/>
        <v>6.4913076774346985</v>
      </c>
      <c r="N42" s="85">
        <f t="shared" si="122"/>
        <v>10.839755835450994</v>
      </c>
      <c r="O42" s="85">
        <f t="shared" si="122"/>
        <v>12.988739800158669</v>
      </c>
      <c r="P42" s="85">
        <f t="shared" si="122"/>
        <v>10.362839173754384</v>
      </c>
      <c r="Q42" s="53" t="s">
        <v>40</v>
      </c>
      <c r="R42" s="100">
        <f t="shared" si="122"/>
        <v>5.8104189056362294</v>
      </c>
      <c r="S42" s="100">
        <f t="shared" si="122"/>
        <v>5.3921880633016608</v>
      </c>
      <c r="T42" s="100">
        <f t="shared" si="122"/>
        <v>7.6493261336163867</v>
      </c>
      <c r="U42" s="100">
        <f t="shared" si="122"/>
        <v>6.5026281313560013</v>
      </c>
      <c r="V42" s="115"/>
      <c r="W42"/>
      <c r="X42"/>
      <c r="Y42"/>
      <c r="Z42"/>
      <c r="AA42"/>
      <c r="AC42" s="3">
        <v>0.2</v>
      </c>
      <c r="AD42" s="3">
        <f>Y28</f>
        <v>0</v>
      </c>
    </row>
    <row r="43" spans="1:30" s="3" customFormat="1" x14ac:dyDescent="0.2">
      <c r="A43" s="26" t="s">
        <v>70</v>
      </c>
      <c r="B43" s="27" t="s">
        <v>39</v>
      </c>
      <c r="C43" s="22">
        <f>C$27-($H$8+0)/C$36*180/PI()</f>
        <v>5.8876777409643655</v>
      </c>
      <c r="D43" s="22">
        <f t="shared" ref="D43:U43" si="123">D$27-($H$8+0)/D$36*180/PI()</f>
        <v>9.0165806255959264</v>
      </c>
      <c r="E43" s="22">
        <f t="shared" si="123"/>
        <v>10.613521493928726</v>
      </c>
      <c r="F43" s="22">
        <f t="shared" si="123"/>
        <v>5.8806513243799845</v>
      </c>
      <c r="G43" s="22">
        <f t="shared" si="123"/>
        <v>6.7691402755175112</v>
      </c>
      <c r="H43" s="22">
        <f t="shared" si="123"/>
        <v>3.390085598486678</v>
      </c>
      <c r="I43" s="71">
        <f t="shared" si="123"/>
        <v>10.661244891932963</v>
      </c>
      <c r="J43" s="71">
        <f t="shared" si="123"/>
        <v>13.637037190960246</v>
      </c>
      <c r="K43" s="71">
        <f t="shared" si="123"/>
        <v>15.230027643443826</v>
      </c>
      <c r="L43" s="71">
        <f t="shared" si="123"/>
        <v>10.0994996717292</v>
      </c>
      <c r="M43" s="85">
        <f t="shared" si="123"/>
        <v>6.8732795408552487</v>
      </c>
      <c r="N43" s="85">
        <f t="shared" si="123"/>
        <v>11.221727698871543</v>
      </c>
      <c r="O43" s="85">
        <f t="shared" si="123"/>
        <v>13.370711663579218</v>
      </c>
      <c r="P43" s="85">
        <f t="shared" si="123"/>
        <v>10.744811037174934</v>
      </c>
      <c r="Q43" s="26" t="s">
        <v>70</v>
      </c>
      <c r="R43" s="100">
        <f t="shared" si="123"/>
        <v>6.0014048373465041</v>
      </c>
      <c r="S43" s="100">
        <f t="shared" si="123"/>
        <v>5.6786669608670728</v>
      </c>
      <c r="T43" s="100">
        <f t="shared" si="123"/>
        <v>7.9358050311817987</v>
      </c>
      <c r="U43" s="100">
        <f t="shared" si="123"/>
        <v>6.6936140630662759</v>
      </c>
      <c r="V43" s="115"/>
      <c r="W43"/>
      <c r="X43"/>
      <c r="Y43"/>
      <c r="Z43"/>
      <c r="AA43"/>
      <c r="AC43" s="3">
        <v>0.2</v>
      </c>
      <c r="AD43" s="3">
        <f>2*AD42-AD41</f>
        <v>0</v>
      </c>
    </row>
    <row r="44" spans="1:30" s="3" customFormat="1" x14ac:dyDescent="0.2">
      <c r="A44" s="21" t="s">
        <v>27</v>
      </c>
      <c r="B44" s="7" t="s">
        <v>62</v>
      </c>
      <c r="C44" s="55">
        <f>1E+37*(C36/1.1)^2</f>
        <v>7.4380165289256191E+37</v>
      </c>
      <c r="D44" s="24">
        <f t="shared" ref="D44:L44" si="124">1E+37*(D36/1.1)^2</f>
        <v>7.4380165289256191E+37</v>
      </c>
      <c r="E44" s="24">
        <f t="shared" si="124"/>
        <v>7.4380165289256191E+37</v>
      </c>
      <c r="F44" s="24">
        <f>MIN(1E+37*(F36/1.1)^2,$V45*6.023E+23/0.00000000000016*10/15)</f>
        <v>7.5287499999999999E+37</v>
      </c>
      <c r="G44" s="24">
        <f>MIN(1E+37*(G36/1.1)^2,$V45*6.023E+23/0.00000000000016*10/15)</f>
        <v>7.4380165289256191E+37</v>
      </c>
      <c r="H44" s="24">
        <f>MIN(1E+37*(H36/1.1)^2,$V45*6.023E+23/0.00000000000016*10/15)</f>
        <v>7.5287499999999999E+37</v>
      </c>
      <c r="I44" s="68">
        <f t="shared" si="124"/>
        <v>7.4380165289256191E+37</v>
      </c>
      <c r="J44" s="68">
        <f t="shared" ref="J44" si="125">1E+37*(J36/1.1)^2</f>
        <v>7.4380165289256191E+37</v>
      </c>
      <c r="K44" s="68">
        <f t="shared" si="124"/>
        <v>7.4380165289256191E+37</v>
      </c>
      <c r="L44" s="68">
        <f t="shared" si="124"/>
        <v>7.4380165289256191E+37</v>
      </c>
      <c r="M44" s="82">
        <f t="shared" ref="M44:P44" si="126">1E+37*(M36/1.1)^2</f>
        <v>7.4380165289256191E+37</v>
      </c>
      <c r="N44" s="82">
        <f t="shared" si="126"/>
        <v>7.4380165289256191E+37</v>
      </c>
      <c r="O44" s="82">
        <f t="shared" si="126"/>
        <v>7.4380165289256191E+37</v>
      </c>
      <c r="P44" s="82">
        <f t="shared" si="126"/>
        <v>7.4380165289256191E+37</v>
      </c>
      <c r="Q44" s="44" t="s">
        <v>27</v>
      </c>
      <c r="R44" s="98">
        <f>MIN(1E+37*(R36/1.1)^2,$V45*6.023E+23/0.00000000000016*10/15)</f>
        <v>7.5287499999999999E+37</v>
      </c>
      <c r="S44" s="98">
        <f>MIN(1E+37*(S36/1.1)^2,$V45*6.023E+23/0.00000000000016*10/15)</f>
        <v>7.5287499999999999E+37</v>
      </c>
      <c r="T44" s="98">
        <f>MIN(1E+37*(T36/1.1)^2,$V45*6.023E+23/0.00000000000016*10/15)</f>
        <v>7.5287499999999999E+37</v>
      </c>
      <c r="U44" s="98">
        <f>MIN(1E+37*(U36/1.1)^2,$V45*6.023E+23/0.00000000000016*10/15)</f>
        <v>7.5287499999999999E+37</v>
      </c>
      <c r="V44" s="4"/>
      <c r="W44"/>
      <c r="X44"/>
      <c r="Y44"/>
      <c r="Z44"/>
      <c r="AA44"/>
    </row>
    <row r="45" spans="1:30" s="4" customFormat="1" x14ac:dyDescent="0.2">
      <c r="A45" s="42" t="s">
        <v>65</v>
      </c>
      <c r="B45" s="43" t="s">
        <v>66</v>
      </c>
      <c r="C45" s="56">
        <f>C44/6.02E+23*0.00000000000016*15/10</f>
        <v>29.653222042228386</v>
      </c>
      <c r="D45" s="56">
        <f t="shared" ref="D45:H45" si="127">D44/6.02E+23*0.00000000000016*15/10</f>
        <v>29.653222042228386</v>
      </c>
      <c r="E45" s="56">
        <f t="shared" si="127"/>
        <v>29.653222042228386</v>
      </c>
      <c r="F45" s="56">
        <f t="shared" si="127"/>
        <v>30.014950166112961</v>
      </c>
      <c r="G45" s="56">
        <f t="shared" si="127"/>
        <v>29.653222042228386</v>
      </c>
      <c r="H45" s="56">
        <f t="shared" si="127"/>
        <v>30.014950166112961</v>
      </c>
      <c r="I45" s="72">
        <f>I44/6.02E+23*0.00000000000016*15/10</f>
        <v>29.653222042228386</v>
      </c>
      <c r="J45" s="72">
        <f>J44/6.02E+23*0.00000000000016*15/10</f>
        <v>29.653222042228386</v>
      </c>
      <c r="K45" s="72">
        <f t="shared" ref="K45:L45" si="128">K44/6.02E+23*0.00000000000016*15/10</f>
        <v>29.653222042228386</v>
      </c>
      <c r="L45" s="72">
        <f t="shared" si="128"/>
        <v>29.653222042228386</v>
      </c>
      <c r="M45" s="86">
        <f>M44/6.02E+23*0.00000000000016*15/10</f>
        <v>29.653222042228386</v>
      </c>
      <c r="N45" s="86">
        <f t="shared" ref="N45:P45" si="129">N44/6.02E+23*0.00000000000016*15/10</f>
        <v>29.653222042228386</v>
      </c>
      <c r="O45" s="86">
        <f t="shared" si="129"/>
        <v>29.653222042228386</v>
      </c>
      <c r="P45" s="86">
        <f t="shared" si="129"/>
        <v>29.653222042228386</v>
      </c>
      <c r="Q45" s="44" t="s">
        <v>68</v>
      </c>
      <c r="R45" s="101">
        <f>R44/6.02E+23*0.00000000000016*15/10</f>
        <v>30.014950166112961</v>
      </c>
      <c r="S45" s="101">
        <f>S44/6.02E+23*0.00000000000016*15/10</f>
        <v>30.014950166112961</v>
      </c>
      <c r="T45" s="101">
        <f t="shared" ref="T45:U45" si="130">T44/6.02E+23*0.00000000000016*15/10</f>
        <v>30.014950166112961</v>
      </c>
      <c r="U45" s="101">
        <f t="shared" si="130"/>
        <v>30.014950166112961</v>
      </c>
      <c r="V45" s="124">
        <v>30</v>
      </c>
      <c r="W45" t="s">
        <v>160</v>
      </c>
      <c r="X45"/>
      <c r="Y45"/>
      <c r="Z45"/>
      <c r="AA45"/>
    </row>
    <row r="46" spans="1:30" s="4" customFormat="1" x14ac:dyDescent="0.2">
      <c r="A46" s="42" t="s">
        <v>99</v>
      </c>
      <c r="B46" s="43" t="s">
        <v>100</v>
      </c>
      <c r="C46" s="56">
        <v>-0.34</v>
      </c>
      <c r="D46" s="62"/>
      <c r="E46" s="62"/>
      <c r="F46" s="62"/>
      <c r="G46" s="62"/>
      <c r="H46" s="62"/>
      <c r="I46" s="72">
        <v>-0.42</v>
      </c>
      <c r="J46" s="72"/>
      <c r="K46" s="72"/>
      <c r="L46" s="72"/>
      <c r="M46" s="86"/>
      <c r="N46" s="86"/>
      <c r="O46" s="86"/>
      <c r="P46" s="87"/>
      <c r="Q46" s="42"/>
      <c r="R46" s="96"/>
      <c r="S46" s="101"/>
      <c r="T46" s="101"/>
      <c r="U46" s="101"/>
      <c r="V46" s="45"/>
      <c r="W46"/>
      <c r="X46"/>
      <c r="Y46"/>
      <c r="Z46"/>
      <c r="AA46"/>
    </row>
    <row r="47" spans="1:30" s="45" customFormat="1" x14ac:dyDescent="0.2">
      <c r="A47" s="60" t="s">
        <v>35</v>
      </c>
      <c r="B47" s="61" t="s">
        <v>165</v>
      </c>
      <c r="C47" s="55">
        <v>7.2410000000000002E-2</v>
      </c>
      <c r="D47" s="24">
        <v>2.707E-2</v>
      </c>
      <c r="E47" s="24">
        <v>1.5134999999999999E-2</v>
      </c>
      <c r="F47" s="24">
        <v>3.4207000000000001E-2</v>
      </c>
      <c r="G47" s="24">
        <v>1.5606E-2</v>
      </c>
      <c r="H47" s="24">
        <v>2.4879999999999999E-2</v>
      </c>
      <c r="I47" s="68">
        <v>6.4599999999999996E-3</v>
      </c>
      <c r="J47" s="68">
        <v>2.9090000000000001E-3</v>
      </c>
      <c r="K47" s="68">
        <v>1.748E-3</v>
      </c>
      <c r="L47" s="68">
        <v>1.5363E-3</v>
      </c>
      <c r="M47" s="82">
        <v>1.5969999999999999E-3</v>
      </c>
      <c r="N47" s="82">
        <v>5.1999999999999995E-4</v>
      </c>
      <c r="O47" s="82">
        <v>2.7559999999999998E-4</v>
      </c>
      <c r="P47" s="83">
        <v>2.722E-4</v>
      </c>
      <c r="Q47" s="42"/>
      <c r="R47" s="98"/>
      <c r="S47" s="98"/>
      <c r="T47" s="98"/>
      <c r="U47" s="98"/>
      <c r="V47" s="4"/>
      <c r="W47"/>
      <c r="X47"/>
      <c r="Y47"/>
      <c r="Z47"/>
      <c r="AA47"/>
    </row>
    <row r="48" spans="1:30" s="4" customFormat="1" x14ac:dyDescent="0.2">
      <c r="A48" s="60" t="s">
        <v>36</v>
      </c>
      <c r="B48" s="61" t="s">
        <v>165</v>
      </c>
      <c r="C48" s="55">
        <v>2.0240000000000001E-2</v>
      </c>
      <c r="D48" s="24">
        <v>8.4679999999999998E-3</v>
      </c>
      <c r="E48" s="24">
        <v>5.2550000000000001E-3</v>
      </c>
      <c r="F48" s="24">
        <v>1.1469999999999999E-2</v>
      </c>
      <c r="G48" s="24">
        <v>5.6220000000000003E-3</v>
      </c>
      <c r="H48" s="24">
        <v>9.4004999999999991E-3</v>
      </c>
      <c r="I48" s="68">
        <v>2.7000000000000001E-3</v>
      </c>
      <c r="J48" s="68">
        <v>1.4909999999999999E-3</v>
      </c>
      <c r="K48" s="68">
        <v>1.01128E-3</v>
      </c>
      <c r="L48" s="68">
        <v>8.1899999999999996E-4</v>
      </c>
      <c r="M48" s="82">
        <v>9.8200000000000002E-4</v>
      </c>
      <c r="N48" s="82">
        <v>4.3659999999999999E-4</v>
      </c>
      <c r="O48" s="82">
        <v>2.9690000000000001E-4</v>
      </c>
      <c r="P48" s="83">
        <v>2.5399999999999999E-4</v>
      </c>
      <c r="Q48" s="42" t="s">
        <v>36</v>
      </c>
      <c r="R48" s="98"/>
      <c r="S48" s="98"/>
      <c r="T48" s="98"/>
      <c r="U48" s="98"/>
      <c r="W48"/>
      <c r="X48"/>
      <c r="Y48"/>
      <c r="Z48"/>
      <c r="AA48"/>
    </row>
    <row r="49" spans="1:27" s="4" customFormat="1" x14ac:dyDescent="0.2">
      <c r="A49" s="60" t="s">
        <v>187</v>
      </c>
      <c r="B49" s="61" t="s">
        <v>165</v>
      </c>
      <c r="C49" s="55">
        <v>4.0460000000000003E-2</v>
      </c>
      <c r="D49" s="24">
        <v>1.585E-2</v>
      </c>
      <c r="E49" s="24">
        <v>9.1310000000000002E-3</v>
      </c>
      <c r="F49" s="24">
        <v>2.0639999999999999E-2</v>
      </c>
      <c r="G49" s="24">
        <v>9.7219999999999997E-3</v>
      </c>
      <c r="H49" s="24">
        <v>1.5740000000000001E-2</v>
      </c>
      <c r="I49" s="68">
        <v>4.2199999999999998E-3</v>
      </c>
      <c r="J49" s="68">
        <v>2.0417E-3</v>
      </c>
      <c r="K49" s="68">
        <v>1.3408999999999999E-3</v>
      </c>
      <c r="L49" s="68">
        <v>1.1178500000000001E-3</v>
      </c>
      <c r="M49" s="82">
        <v>1.2329999999999999E-3</v>
      </c>
      <c r="N49" s="82">
        <v>4.6200000000000001E-4</v>
      </c>
      <c r="O49" s="82">
        <v>2.7720000000000002E-4</v>
      </c>
      <c r="P49" s="83">
        <v>2.5609999999999999E-4</v>
      </c>
      <c r="Q49" s="42"/>
      <c r="R49" s="98"/>
      <c r="S49" s="98"/>
      <c r="T49" s="98"/>
      <c r="U49" s="98"/>
      <c r="W49"/>
      <c r="X49"/>
      <c r="Y49"/>
      <c r="Z49"/>
      <c r="AA49"/>
    </row>
    <row r="50" spans="1:27" s="34" customFormat="1" x14ac:dyDescent="0.2">
      <c r="A50" s="168" t="s">
        <v>93</v>
      </c>
      <c r="B50" s="169" t="s">
        <v>97</v>
      </c>
      <c r="C50" s="37">
        <f>1-1/12</f>
        <v>0.91666666666666663</v>
      </c>
      <c r="D50" s="38">
        <f>10/24</f>
        <v>0.41666666666666669</v>
      </c>
      <c r="E50" s="38">
        <v>0.25</v>
      </c>
      <c r="F50" s="38">
        <f>1+1/24</f>
        <v>1.0416666666666667</v>
      </c>
      <c r="G50" s="38">
        <f>13/24</f>
        <v>0.54166666666666663</v>
      </c>
      <c r="H50" s="38">
        <f>1+16/24</f>
        <v>1.6666666666666665</v>
      </c>
      <c r="I50" s="66">
        <f>3+2/24</f>
        <v>3.0833333333333335</v>
      </c>
      <c r="J50" s="66">
        <v>1.5</v>
      </c>
      <c r="K50" s="66">
        <f>1+4/24</f>
        <v>1.1666666666666667</v>
      </c>
      <c r="L50" s="66">
        <v>2.5</v>
      </c>
      <c r="M50" s="80">
        <v>10</v>
      </c>
      <c r="N50" s="80">
        <f>5*1.5</f>
        <v>7.5</v>
      </c>
      <c r="O50" s="80">
        <f>3*1.5</f>
        <v>4.5</v>
      </c>
      <c r="P50" s="170">
        <f>5*1.5</f>
        <v>7.5</v>
      </c>
      <c r="Q50" s="168" t="s">
        <v>158</v>
      </c>
      <c r="R50" s="96">
        <v>1</v>
      </c>
      <c r="S50" s="96">
        <v>1</v>
      </c>
      <c r="T50" s="96">
        <v>1</v>
      </c>
      <c r="U50" s="96">
        <v>1</v>
      </c>
      <c r="V50" s="34" t="s">
        <v>162</v>
      </c>
      <c r="W50" s="34">
        <f>SUM(C50:U50)</f>
        <v>46.583333333333329</v>
      </c>
    </row>
    <row r="51" spans="1:27" s="34" customFormat="1" x14ac:dyDescent="0.2">
      <c r="A51" s="168" t="s">
        <v>94</v>
      </c>
      <c r="B51" s="169" t="s">
        <v>98</v>
      </c>
      <c r="C51" s="37">
        <v>1</v>
      </c>
      <c r="D51" s="38">
        <v>0.5</v>
      </c>
      <c r="E51" s="38">
        <v>0.33300000000000002</v>
      </c>
      <c r="F51" s="38">
        <f>1+2/24</f>
        <v>1.0833333333333333</v>
      </c>
      <c r="G51" s="38">
        <v>1</v>
      </c>
      <c r="H51" s="38">
        <v>2</v>
      </c>
      <c r="I51" s="66">
        <f>I50</f>
        <v>3.0833333333333335</v>
      </c>
      <c r="J51" s="66">
        <v>1.5</v>
      </c>
      <c r="K51" s="66">
        <v>1.25</v>
      </c>
      <c r="L51" s="66">
        <v>2.5</v>
      </c>
      <c r="M51" s="80">
        <v>10</v>
      </c>
      <c r="N51" s="80">
        <f>5*1.5</f>
        <v>7.5</v>
      </c>
      <c r="O51" s="80">
        <f>3*1.5</f>
        <v>4.5</v>
      </c>
      <c r="P51" s="170">
        <f>5*1.5</f>
        <v>7.5</v>
      </c>
      <c r="Q51" s="168" t="s">
        <v>159</v>
      </c>
      <c r="R51" s="96">
        <v>1</v>
      </c>
      <c r="S51" s="171">
        <v>1</v>
      </c>
      <c r="T51" s="171">
        <v>1</v>
      </c>
      <c r="U51" s="171">
        <v>1</v>
      </c>
      <c r="V51" s="34" t="s">
        <v>163</v>
      </c>
      <c r="W51" s="34">
        <f>SUM(C51:U51)</f>
        <v>47.74966666666667</v>
      </c>
    </row>
    <row r="52" spans="1:27" s="1" customFormat="1" x14ac:dyDescent="0.2">
      <c r="A52" s="21" t="s">
        <v>190</v>
      </c>
      <c r="B52" s="6" t="s">
        <v>67</v>
      </c>
      <c r="C52" s="57">
        <f>C45*C50*24*3600*0.000001</f>
        <v>2.3485351857444878</v>
      </c>
      <c r="D52" s="41">
        <f>D45*D50*24*3600*0.000001</f>
        <v>1.0675159935202221</v>
      </c>
      <c r="E52" s="41">
        <f>E45*E50*24*3600*0.000001</f>
        <v>0.64050959611213321</v>
      </c>
      <c r="F52" s="41">
        <f t="shared" ref="F52:H52" si="131">F45*F50*24*3600*0.000001</f>
        <v>2.7013455149501664</v>
      </c>
      <c r="G52" s="41">
        <f t="shared" si="131"/>
        <v>1.3877707915762882</v>
      </c>
      <c r="H52" s="41">
        <f t="shared" si="131"/>
        <v>4.3221528239202653</v>
      </c>
      <c r="I52" s="73">
        <f t="shared" ref="I52:P52" si="132">I45*I50*24*3600*0.000001</f>
        <v>7.8996183520496439</v>
      </c>
      <c r="J52" s="73">
        <f t="shared" ref="J52" si="133">J45*J50*24*3600*0.000001</f>
        <v>3.8430575766727983</v>
      </c>
      <c r="K52" s="73">
        <f t="shared" si="132"/>
        <v>2.989044781856621</v>
      </c>
      <c r="L52" s="73">
        <f t="shared" si="132"/>
        <v>6.4050959611213303</v>
      </c>
      <c r="M52" s="88">
        <f t="shared" si="132"/>
        <v>25.620383844485321</v>
      </c>
      <c r="N52" s="88">
        <f t="shared" si="132"/>
        <v>19.215287883363992</v>
      </c>
      <c r="O52" s="88">
        <f t="shared" si="132"/>
        <v>11.529172730018395</v>
      </c>
      <c r="P52" s="89">
        <f t="shared" si="132"/>
        <v>19.215287883363992</v>
      </c>
      <c r="Q52" s="42" t="s">
        <v>67</v>
      </c>
      <c r="R52" s="103">
        <f t="shared" ref="R52:U52" si="134">R45*R50*24*3600*0.000001</f>
        <v>2.59329169435216</v>
      </c>
      <c r="S52" s="103">
        <f t="shared" si="134"/>
        <v>2.59329169435216</v>
      </c>
      <c r="T52" s="103">
        <f t="shared" si="134"/>
        <v>2.59329169435216</v>
      </c>
      <c r="U52" s="103">
        <f t="shared" si="134"/>
        <v>2.59329169435216</v>
      </c>
      <c r="V52" s="131">
        <f>SUM(C52:U52)</f>
        <v>119.5579456961643</v>
      </c>
      <c r="W52"/>
      <c r="X52"/>
      <c r="Y52"/>
      <c r="Z52"/>
      <c r="AA52"/>
    </row>
    <row r="53" spans="1:27" s="1" customFormat="1" x14ac:dyDescent="0.2">
      <c r="A53" s="21"/>
      <c r="B53" s="6"/>
      <c r="C53" s="57"/>
      <c r="D53" s="41"/>
      <c r="E53" s="41"/>
      <c r="F53" s="41"/>
      <c r="G53" s="41"/>
      <c r="H53" s="41"/>
      <c r="I53" s="73"/>
      <c r="J53" s="73"/>
      <c r="K53" s="73"/>
      <c r="L53" s="73"/>
      <c r="M53" s="88"/>
      <c r="N53" s="88"/>
      <c r="O53" s="88"/>
      <c r="P53" s="89"/>
      <c r="Q53" s="42"/>
      <c r="R53" s="125"/>
      <c r="S53" s="103"/>
      <c r="T53" s="103"/>
      <c r="U53" s="103"/>
      <c r="V53"/>
      <c r="W53"/>
      <c r="X53"/>
      <c r="Y53"/>
      <c r="Z53"/>
      <c r="AA53"/>
    </row>
    <row r="54" spans="1:27" x14ac:dyDescent="0.2">
      <c r="A54" s="15" t="s">
        <v>37</v>
      </c>
      <c r="B54" s="6" t="s">
        <v>53</v>
      </c>
      <c r="C54" s="58">
        <f>2*C19*C17*C21/C20</f>
        <v>2.0290766428857294</v>
      </c>
      <c r="D54" s="25">
        <f>2*D19*D17*D21/D20</f>
        <v>5.559725627879688</v>
      </c>
      <c r="E54" s="25">
        <f>2*E19*E17*E21/E20</f>
        <v>10.470706606170424</v>
      </c>
      <c r="F54" s="25">
        <f t="shared" ref="F54:H54" si="135">2*F19*F17*F21/F20</f>
        <v>2.6428711605362079</v>
      </c>
      <c r="G54" s="25">
        <f t="shared" si="135"/>
        <v>5.9526767820137003</v>
      </c>
      <c r="H54" s="25">
        <f t="shared" si="135"/>
        <v>2.2561069258854705</v>
      </c>
      <c r="I54" s="74">
        <f t="shared" ref="I54:P54" si="136">2*I19*I17*I21/I20</f>
        <v>4.334062933677254</v>
      </c>
      <c r="J54" s="74">
        <f t="shared" ref="J54" si="137">2*J19*J17*J21/J20</f>
        <v>10.289068769173218</v>
      </c>
      <c r="K54" s="74">
        <f t="shared" si="136"/>
        <v>18.427208480560736</v>
      </c>
      <c r="L54" s="74">
        <f t="shared" si="136"/>
        <v>10.082952257600105</v>
      </c>
      <c r="M54" s="90">
        <f t="shared" si="136"/>
        <v>2.7256492836282695</v>
      </c>
      <c r="N54" s="90">
        <f t="shared" si="136"/>
        <v>8.005610285970528</v>
      </c>
      <c r="O54" s="90">
        <f t="shared" si="136"/>
        <v>15.398921812779523</v>
      </c>
      <c r="P54" s="91">
        <f t="shared" si="136"/>
        <v>11.249858395300896</v>
      </c>
      <c r="Q54" s="29" t="s">
        <v>37</v>
      </c>
      <c r="R54" s="104">
        <f>2*R19*R17*R21/R20</f>
        <v>1.1420861797850044</v>
      </c>
      <c r="S54" s="104">
        <f>2*S19*S17*S21/S20</f>
        <v>2.4101039886560236</v>
      </c>
      <c r="T54" s="104">
        <f>2*T19*T17*T21/T20</f>
        <v>5.6154103233633794</v>
      </c>
      <c r="U54" s="104">
        <f>2*U19*U17*U21/U20</f>
        <v>3.4365764961273051</v>
      </c>
    </row>
    <row r="55" spans="1:27" x14ac:dyDescent="0.2">
      <c r="A55" s="15" t="s">
        <v>51</v>
      </c>
      <c r="B55" s="6"/>
      <c r="C55" s="59">
        <f t="shared" ref="C55:P55" si="138">(C44*nbarn)*C50*24*3600*C54*HMS_Acc*IF(C21&lt;6.6,HMS_ddelta,HMS66_)*C21*(C49)*DeltaT</f>
        <v>101991.53173791189</v>
      </c>
      <c r="D55" s="59">
        <f t="shared" si="138"/>
        <v>102821.58239551485</v>
      </c>
      <c r="E55" s="59">
        <f t="shared" si="138"/>
        <v>101286.76620160387</v>
      </c>
      <c r="F55" s="59">
        <f t="shared" si="138"/>
        <v>102083.24252630727</v>
      </c>
      <c r="G55" s="59">
        <f t="shared" si="138"/>
        <v>100691.64606660519</v>
      </c>
      <c r="H55" s="59">
        <f t="shared" si="138"/>
        <v>100281.85982890624</v>
      </c>
      <c r="I55" s="75">
        <f t="shared" si="138"/>
        <v>103124.41566175771</v>
      </c>
      <c r="J55" s="75">
        <f t="shared" si="138"/>
        <v>103158.04867348577</v>
      </c>
      <c r="K55" s="75">
        <f t="shared" si="138"/>
        <v>101853.0801634298</v>
      </c>
      <c r="L55" s="75">
        <f t="shared" si="138"/>
        <v>102544.39010731336</v>
      </c>
      <c r="M55" s="92">
        <f t="shared" si="138"/>
        <v>39974.513538184357</v>
      </c>
      <c r="N55" s="92">
        <f t="shared" si="138"/>
        <v>73080.5720749928</v>
      </c>
      <c r="O55" s="92">
        <f t="shared" si="138"/>
        <v>78213.012030865983</v>
      </c>
      <c r="P55" s="92">
        <f t="shared" si="138"/>
        <v>75620.348004599524</v>
      </c>
      <c r="Q55" s="30" t="s">
        <v>51</v>
      </c>
      <c r="R55" s="102">
        <f t="shared" ref="R55" si="139">(R44*nbarn)*R50*24*3600*R54*HRS_Acc*HRS_ddelta*R21*(R47+R48)*DeltaT/2</f>
        <v>0</v>
      </c>
      <c r="S55" s="102"/>
      <c r="T55" s="102"/>
      <c r="U55" s="102"/>
    </row>
    <row r="56" spans="1:27" s="131" customFormat="1" ht="17" thickBot="1" x14ac:dyDescent="0.25">
      <c r="A56" s="126" t="s">
        <v>161</v>
      </c>
      <c r="B56" s="127"/>
      <c r="C56" s="128">
        <f>C50+C51</f>
        <v>1.9166666666666665</v>
      </c>
      <c r="D56" s="128">
        <f t="shared" ref="D56:H56" si="140">D50+D51</f>
        <v>0.91666666666666674</v>
      </c>
      <c r="E56" s="128">
        <f t="shared" si="140"/>
        <v>0.58299999999999996</v>
      </c>
      <c r="F56" s="128">
        <f t="shared" si="140"/>
        <v>2.125</v>
      </c>
      <c r="G56" s="128">
        <f t="shared" si="140"/>
        <v>1.5416666666666665</v>
      </c>
      <c r="H56" s="128">
        <f t="shared" si="140"/>
        <v>3.6666666666666665</v>
      </c>
      <c r="I56" s="129">
        <f>I50+I51</f>
        <v>6.166666666666667</v>
      </c>
      <c r="J56" s="129">
        <f>J50+J51</f>
        <v>3</v>
      </c>
      <c r="K56" s="129">
        <f t="shared" ref="K56:U56" si="141">K50+K51</f>
        <v>2.416666666666667</v>
      </c>
      <c r="L56" s="129">
        <f t="shared" si="141"/>
        <v>5</v>
      </c>
      <c r="M56" s="130">
        <f t="shared" si="141"/>
        <v>20</v>
      </c>
      <c r="N56" s="130">
        <f t="shared" si="141"/>
        <v>15</v>
      </c>
      <c r="O56" s="130">
        <f t="shared" si="141"/>
        <v>9</v>
      </c>
      <c r="P56" s="130">
        <f t="shared" si="141"/>
        <v>15</v>
      </c>
      <c r="Q56" s="131" t="str">
        <f>A56</f>
        <v>LH2+LD2</v>
      </c>
      <c r="R56" s="132">
        <f t="shared" si="141"/>
        <v>2</v>
      </c>
      <c r="S56" s="132">
        <f t="shared" si="141"/>
        <v>2</v>
      </c>
      <c r="T56" s="132">
        <f t="shared" si="141"/>
        <v>2</v>
      </c>
      <c r="U56" s="132">
        <f t="shared" si="141"/>
        <v>2</v>
      </c>
      <c r="V56" s="131" t="s">
        <v>166</v>
      </c>
      <c r="W56" s="131">
        <f>SUM(C56:U56)</f>
        <v>94.332999999999998</v>
      </c>
    </row>
    <row r="57" spans="1:27" ht="17" thickBot="1" x14ac:dyDescent="0.25">
      <c r="A57" s="143" t="s">
        <v>52</v>
      </c>
      <c r="B57" s="144"/>
      <c r="C57" s="183" t="str">
        <f>CONCATENATE("(x=0.36) Total=  ",FIXED(SUM(C50:H51),2),"  PAC Days")</f>
        <v>(x=0.36) Total=  10.75  PAC Days</v>
      </c>
      <c r="D57" s="184"/>
      <c r="E57" s="185"/>
      <c r="F57" s="185"/>
      <c r="G57" s="185"/>
      <c r="H57" s="184"/>
      <c r="I57" s="199" t="str">
        <f>CONCATENATE("(x=0.50) Total=  ",FIXED(SUM(I50:L51),2),"  PAC Days")</f>
        <v>(x=0.50) Total=  16.58  PAC Days</v>
      </c>
      <c r="J57" s="199"/>
      <c r="K57" s="199"/>
      <c r="L57" s="200"/>
      <c r="M57" s="192" t="str">
        <f>CONCATENATE("(x=0.60) Total=  ",FIXED(SUM(M50:P51),2),"  PAC Days")</f>
        <v>(x=0.60) Total=  59.00  PAC Days</v>
      </c>
      <c r="N57" s="193"/>
      <c r="O57" s="193"/>
      <c r="P57" s="194"/>
      <c r="Q57" s="28" t="s">
        <v>52</v>
      </c>
      <c r="R57" s="186" t="str">
        <f>CONCATENATE("(x=0.25) Total=  ",SUM(R50:U51),"  PAC Days")</f>
        <v>(x=0.25) Total=  8  PAC Days</v>
      </c>
      <c r="S57" s="187"/>
      <c r="T57" s="187"/>
      <c r="U57" s="188"/>
    </row>
    <row r="58" spans="1:27" ht="17" thickBot="1" x14ac:dyDescent="0.25">
      <c r="A58" s="201" t="s">
        <v>191</v>
      </c>
      <c r="B58" s="202"/>
      <c r="C58" s="142">
        <f>SUM(C50:C51)+SUM(M50:M51)+SUM(R50:R51)+SUM(I50:I51)</f>
        <v>30.083333333333336</v>
      </c>
      <c r="D58" s="141"/>
      <c r="E58" s="197" t="s">
        <v>192</v>
      </c>
      <c r="F58" s="198"/>
      <c r="G58" s="142">
        <f>SUM(D50:D51,F50:F51,J50:J51,N50:N51,S50:S51)</f>
        <v>23.041666666666668</v>
      </c>
      <c r="H58" s="141"/>
      <c r="I58" s="197" t="s">
        <v>193</v>
      </c>
      <c r="J58" s="198"/>
      <c r="K58" s="142">
        <f>SUM(E50:E51,G50:H51,K50:L51,O50:P51,T50:U51)</f>
        <v>41.207999999999998</v>
      </c>
      <c r="L58" s="141"/>
    </row>
    <row r="59" spans="1:27" s="34" customFormat="1" x14ac:dyDescent="0.2">
      <c r="A59" s="152" t="s">
        <v>206</v>
      </c>
      <c r="B59" s="153"/>
      <c r="C59" s="150">
        <f>(DIS!$H$92*LN('DVCS-Kin'!C18/DIS!$L$3)-DIS!$P$92*LN('DVCS-Kin'!C18/DIS!$D$3))/LN(DIS!$D$3/DIS!$L$3)</f>
        <v>0.2764378116666667</v>
      </c>
      <c r="D59" s="36">
        <f>(DIS!$H$92*LN('DVCS-Kin'!D18/DIS!$L$3)-DIS!$P$92*LN('DVCS-Kin'!D18/DIS!$D$3))/LN(DIS!$D$3/DIS!$L$3)</f>
        <v>0.2764378116666667</v>
      </c>
      <c r="E59" s="36">
        <f>(DIS!$H$92*LN('DVCS-Kin'!E18/DIS!$L$3)-DIS!$P$92*LN('DVCS-Kin'!E18/DIS!$D$3))/LN(DIS!$D$3/DIS!$L$3)</f>
        <v>0.2764378116666667</v>
      </c>
      <c r="F59" s="36">
        <f>(DIS!$H$92*LN('DVCS-Kin'!F18/DIS!$L$3)-DIS!$P$92*LN('DVCS-Kin'!F18/DIS!$D$3))/LN(DIS!$D$3/DIS!$L$3)</f>
        <v>0.26514210520159237</v>
      </c>
      <c r="G59" s="36">
        <f>(DIS!$H$92*LN('DVCS-Kin'!G18/DIS!$L$3)-DIS!$P$92*LN('DVCS-Kin'!G18/DIS!$D$3))/LN(DIS!$D$3/DIS!$L$3)</f>
        <v>0.26514210520159237</v>
      </c>
      <c r="H59" s="36">
        <f>(DIS!$H$92*LN('DVCS-Kin'!H18/DIS!$L$3)-DIS!$P$92*LN('DVCS-Kin'!H18/DIS!$D$3))/LN(DIS!$D$3/DIS!$L$3)</f>
        <v>0.25263816347604184</v>
      </c>
      <c r="I59" s="149">
        <f>(DIS!$H$97*LN('DVCS-Kin'!I18/DIS!$L$3)-DIS!$P$97*LN('DVCS-Kin'!I18/DIS!$D$3))/LN(DIS!$D$3/DIS!$L$3)</f>
        <v>0.14372783383053772</v>
      </c>
      <c r="J59" s="149">
        <f>(DIS!$H$97*LN('DVCS-Kin'!J18/DIS!$L$3)-DIS!$P$97*LN('DVCS-Kin'!J18/DIS!$D$3))/LN(DIS!$D$3/DIS!$L$3)</f>
        <v>0.14372783383053772</v>
      </c>
      <c r="K59" s="149">
        <f>(DIS!$H$97*LN('DVCS-Kin'!K18/DIS!$L$3)-DIS!$P$97*LN('DVCS-Kin'!K18/DIS!$D$3))/LN(DIS!$D$3/DIS!$L$3)</f>
        <v>0.14372783383053772</v>
      </c>
      <c r="L59" s="149">
        <f>(DIS!$H$97*LN('DVCS-Kin'!L18/DIS!$L$3)-DIS!$P$97*LN('DVCS-Kin'!L18/DIS!$D$3))/LN(DIS!$D$3/DIS!$L$3)</f>
        <v>0.13333155673084437</v>
      </c>
      <c r="M59" s="77">
        <f>(DIS!$H$100*LN('DVCS-Kin'!M18/DIS!$L$3)-DIS!$P$100*LN('DVCS-Kin'!M18/DIS!$D$3))/LN(DIS!$D$3/DIS!$L$3)</f>
        <v>6.9273136638563243E-2</v>
      </c>
      <c r="N59" s="77">
        <f>(DIS!$H$100*LN('DVCS-Kin'!N18/DIS!$L$3)-DIS!$P$100*LN('DVCS-Kin'!N18/DIS!$D$3))/LN(DIS!$D$3/DIS!$L$3)</f>
        <v>6.9273136638563243E-2</v>
      </c>
      <c r="O59" s="77">
        <f>(DIS!$H$100*LN('DVCS-Kin'!O18/DIS!$L$3)-DIS!$P$100*LN('DVCS-Kin'!O18/DIS!$D$3))/LN(DIS!$D$3/DIS!$L$3)</f>
        <v>6.9273136638563243E-2</v>
      </c>
      <c r="P59" s="77">
        <f>(DIS!$H$100*LN('DVCS-Kin'!P18/DIS!$L$3)-DIS!$P$100*LN('DVCS-Kin'!P18/DIS!$D$3))/LN(DIS!$D$3/DIS!$L$3)</f>
        <v>6.6109638617105948E-2</v>
      </c>
      <c r="R59" s="94">
        <f>(DIS!$H$86*LN('DVCS-Kin'!R18/DIS!$L$3)-DIS!$P$86*LN('DVCS-Kin'!R18/DIS!$D$3))/LN(DIS!$D$3/DIS!$L$3)</f>
        <v>0.37338246196210045</v>
      </c>
      <c r="S59" s="94">
        <f>(DIS!$H$86*LN('DVCS-Kin'!S18/DIS!$L$3)-DIS!$P$86*LN('DVCS-Kin'!S18/DIS!$D$3))/LN(DIS!$D$3/DIS!$L$3)</f>
        <v>0.36919056074731432</v>
      </c>
      <c r="T59" s="94">
        <f>(DIS!$H$86*LN('DVCS-Kin'!T18/DIS!$L$3)-DIS!$P$86*LN('DVCS-Kin'!T18/DIS!$D$3))/LN(DIS!$D$3/DIS!$L$3)</f>
        <v>0.36919056074731432</v>
      </c>
      <c r="U59" s="94">
        <f>(DIS!$H$86*LN('DVCS-Kin'!U18/DIS!$L$3)-DIS!$P$86*LN('DVCS-Kin'!U18/DIS!$D$3))/LN(DIS!$D$3/DIS!$L$3)</f>
        <v>0.36218549845116987</v>
      </c>
    </row>
    <row r="60" spans="1:27" x14ac:dyDescent="0.2">
      <c r="A60" s="21" t="s">
        <v>207</v>
      </c>
      <c r="B60" s="6" t="s">
        <v>49</v>
      </c>
      <c r="C60" s="136">
        <f t="shared" ref="C60:P60" si="142">alphaQED^2*hbarcSq*(C17/C20)/(C19*C18)*(1+(C21/C17)^2)*C59</f>
        <v>8.3589669640070241</v>
      </c>
      <c r="D60" s="23">
        <f t="shared" si="142"/>
        <v>12.438357078138091</v>
      </c>
      <c r="E60" s="23">
        <f t="shared" si="142"/>
        <v>16.850618237872542</v>
      </c>
      <c r="F60" s="23">
        <f t="shared" si="142"/>
        <v>5.9677332864470154</v>
      </c>
      <c r="G60" s="23">
        <f t="shared" si="142"/>
        <v>8.1191642082033457</v>
      </c>
      <c r="H60" s="23">
        <f t="shared" si="142"/>
        <v>3.6099689686441279</v>
      </c>
      <c r="I60" s="69">
        <f t="shared" si="142"/>
        <v>3.6210796905795744</v>
      </c>
      <c r="J60" s="69">
        <f t="shared" si="142"/>
        <v>5.3765272541708686</v>
      </c>
      <c r="K60" s="69">
        <f t="shared" si="142"/>
        <v>7.2253277218535681</v>
      </c>
      <c r="L60" s="69">
        <f t="shared" si="142"/>
        <v>2.9653219710441499</v>
      </c>
      <c r="M60" s="84">
        <f t="shared" si="142"/>
        <v>0.71056574079259538</v>
      </c>
      <c r="N60" s="84">
        <f t="shared" si="142"/>
        <v>1.0555950140923489</v>
      </c>
      <c r="O60" s="84">
        <f t="shared" si="142"/>
        <v>1.4329427030417869</v>
      </c>
      <c r="P60" s="84">
        <f t="shared" si="142"/>
        <v>0.92694187709198739</v>
      </c>
      <c r="R60" s="160">
        <f>alphaQED^2*hbarcSq*(R17/R20)/(R19*R18)*(1+(R21/R17)^2)*R59</f>
        <v>22.619680778246387</v>
      </c>
      <c r="S60" s="160">
        <f>alphaQED^2*hbarcSq*(S17/S20)/(S19*S18)*(1+(S21/S17)^2)*S59</f>
        <v>24.077157544213339</v>
      </c>
      <c r="T60" s="160">
        <f>alphaQED^2*hbarcSq*(T17/T20)/(T19*T18)*(1+(T21/T17)^2)*T59</f>
        <v>33.320517908600316</v>
      </c>
      <c r="U60" s="160">
        <f>alphaQED^2*hbarcSq*(U17/U20)/(U19*U18)*(1+(U21/U17)^2)*U59</f>
        <v>19.098911408680383</v>
      </c>
    </row>
    <row r="61" spans="1:27" s="4" customFormat="1" x14ac:dyDescent="0.2">
      <c r="A61" s="21" t="s">
        <v>208</v>
      </c>
      <c r="B61" s="7" t="s">
        <v>49</v>
      </c>
      <c r="C61" s="151">
        <f t="shared" ref="C61:P61" si="143">C60*C21^2/(MProton*C20)*HMS_ddelta*HMS_Acc</f>
        <v>8.2767534114335378E-3</v>
      </c>
      <c r="D61" s="24">
        <f t="shared" si="143"/>
        <v>5.258229476164477E-2</v>
      </c>
      <c r="E61" s="24">
        <f t="shared" si="143"/>
        <v>0.16311852440043995</v>
      </c>
      <c r="F61" s="24">
        <f t="shared" si="143"/>
        <v>7.6009857995069288E-3</v>
      </c>
      <c r="G61" s="24">
        <f t="shared" si="143"/>
        <v>3.3869604764254546E-2</v>
      </c>
      <c r="H61" s="24">
        <f t="shared" si="143"/>
        <v>2.9744024099848808E-3</v>
      </c>
      <c r="I61" s="68">
        <f t="shared" si="143"/>
        <v>7.7147624874346569E-3</v>
      </c>
      <c r="J61" s="68">
        <f t="shared" si="143"/>
        <v>3.6711939894587882E-2</v>
      </c>
      <c r="K61" s="68">
        <f t="shared" si="143"/>
        <v>0.10216347552745532</v>
      </c>
      <c r="L61" s="68">
        <f t="shared" si="143"/>
        <v>1.7722647814572567E-2</v>
      </c>
      <c r="M61" s="82">
        <f t="shared" si="143"/>
        <v>5.1422792967828024E-4</v>
      </c>
      <c r="N61" s="82">
        <f t="shared" si="143"/>
        <v>3.7476321935231822E-3</v>
      </c>
      <c r="O61" s="82">
        <f t="shared" si="143"/>
        <v>1.2151946866097958E-2</v>
      </c>
      <c r="P61" s="82">
        <f t="shared" si="143"/>
        <v>4.9358743782848373E-3</v>
      </c>
      <c r="R61" s="161">
        <f>R60*R21^2/(MProton*R20)*HMS_ddelta*HMS_Acc</f>
        <v>1.6763571288025809E-2</v>
      </c>
      <c r="S61" s="161">
        <f>S60*S21^2/(MProton*S20)*HMS_ddelta*HMS_Acc</f>
        <v>5.1642866135548166E-2</v>
      </c>
      <c r="T61" s="161">
        <f>T60*T21^2/(MProton*T20)*HMS_ddelta*HMS_Acc</f>
        <v>0.22160913668193891</v>
      </c>
      <c r="U61" s="161">
        <f>U60*U21^2/(MProton*U20)*HMS_ddelta*HMS_Acc</f>
        <v>5.9468034515173462E-2</v>
      </c>
    </row>
    <row r="62" spans="1:27" s="148" customFormat="1" ht="17" thickBot="1" x14ac:dyDescent="0.25">
      <c r="A62" s="154" t="s">
        <v>209</v>
      </c>
      <c r="B62" s="155" t="s">
        <v>210</v>
      </c>
      <c r="C62" s="156">
        <f t="shared" ref="C62:P62" si="144">C61*C44*nbarn</f>
        <v>615.62628680084163</v>
      </c>
      <c r="D62" s="157">
        <f t="shared" si="144"/>
        <v>3911.079775659528</v>
      </c>
      <c r="E62" s="164">
        <f t="shared" si="144"/>
        <v>12132.782806644293</v>
      </c>
      <c r="F62" s="157">
        <f t="shared" si="144"/>
        <v>572.25921838037789</v>
      </c>
      <c r="G62" s="157">
        <f t="shared" si="144"/>
        <v>2519.2268006470322</v>
      </c>
      <c r="H62" s="157">
        <f t="shared" si="144"/>
        <v>223.93532144173673</v>
      </c>
      <c r="I62" s="158">
        <f t="shared" si="144"/>
        <v>573.82530898274308</v>
      </c>
      <c r="J62" s="158">
        <f t="shared" si="144"/>
        <v>2730.6401574486854</v>
      </c>
      <c r="K62" s="158">
        <f t="shared" si="144"/>
        <v>7598.9361962570074</v>
      </c>
      <c r="L62" s="158">
        <f t="shared" si="144"/>
        <v>1318.2134738111827</v>
      </c>
      <c r="M62" s="159">
        <f t="shared" si="144"/>
        <v>38.248358405822493</v>
      </c>
      <c r="N62" s="159">
        <f t="shared" si="144"/>
        <v>278.74950199759206</v>
      </c>
      <c r="O62" s="159">
        <f t="shared" si="144"/>
        <v>903.86381648662484</v>
      </c>
      <c r="P62" s="159">
        <f t="shared" si="144"/>
        <v>367.13115210383091</v>
      </c>
      <c r="R62" s="162">
        <f>R61*R44*nbarn</f>
        <v>1262.0873733472433</v>
      </c>
      <c r="S62" s="162">
        <f>S61*S44*nbarn</f>
        <v>3888.0622841800828</v>
      </c>
      <c r="T62" s="163">
        <f>T61*T44*nbarn</f>
        <v>16684.397877941476</v>
      </c>
      <c r="U62" s="162">
        <f>U61*U44*nbarn</f>
        <v>4477.1996485611226</v>
      </c>
    </row>
    <row r="63" spans="1:27" s="131" customFormat="1" x14ac:dyDescent="0.2">
      <c r="A63" s="131" t="s">
        <v>233</v>
      </c>
      <c r="C63" s="172">
        <v>16</v>
      </c>
      <c r="D63" s="172">
        <v>1</v>
      </c>
      <c r="E63" s="172">
        <v>0.1</v>
      </c>
      <c r="F63" s="172">
        <v>11</v>
      </c>
      <c r="G63" s="172">
        <v>1</v>
      </c>
      <c r="H63" s="172">
        <v>27</v>
      </c>
      <c r="I63" s="129">
        <v>2</v>
      </c>
      <c r="J63" s="129">
        <v>0.1</v>
      </c>
      <c r="K63" s="129">
        <v>0.1</v>
      </c>
      <c r="L63" s="129">
        <v>0.1</v>
      </c>
      <c r="M63" s="130">
        <v>11</v>
      </c>
      <c r="N63" s="130">
        <v>0.1</v>
      </c>
      <c r="O63" s="130">
        <v>0.1</v>
      </c>
      <c r="P63" s="130">
        <v>0.1</v>
      </c>
      <c r="Q63" s="131" t="s">
        <v>233</v>
      </c>
      <c r="R63" s="132">
        <v>267</v>
      </c>
      <c r="S63" s="132">
        <v>8</v>
      </c>
      <c r="T63" s="173">
        <v>1</v>
      </c>
      <c r="U63" s="132">
        <v>44</v>
      </c>
      <c r="V63" s="131" t="s">
        <v>234</v>
      </c>
    </row>
    <row r="64" spans="1:27" s="148" customFormat="1" x14ac:dyDescent="0.2">
      <c r="A64" s="148" t="s">
        <v>214</v>
      </c>
      <c r="B64" s="148" t="s">
        <v>215</v>
      </c>
      <c r="C64" s="34">
        <v>2.54</v>
      </c>
      <c r="D64" s="148" t="s">
        <v>216</v>
      </c>
      <c r="E64" s="166"/>
      <c r="F64" s="148" t="s">
        <v>223</v>
      </c>
      <c r="G64" s="34">
        <v>0.1135</v>
      </c>
      <c r="H64" s="148" t="s">
        <v>224</v>
      </c>
      <c r="T64" s="166"/>
    </row>
    <row r="65" spans="1:24" s="148" customFormat="1" x14ac:dyDescent="0.2">
      <c r="B65" s="148" t="s">
        <v>217</v>
      </c>
      <c r="C65" s="34">
        <v>1.6639999999999999</v>
      </c>
      <c r="D65" s="148" t="s">
        <v>218</v>
      </c>
      <c r="E65" s="166"/>
      <c r="T65" s="166"/>
      <c r="V65" s="148" t="s">
        <v>231</v>
      </c>
      <c r="W65" s="148">
        <v>85</v>
      </c>
      <c r="X65" s="148" t="s">
        <v>232</v>
      </c>
    </row>
    <row r="66" spans="1:24" x14ac:dyDescent="0.2">
      <c r="B66" s="148" t="s">
        <v>220</v>
      </c>
      <c r="C66" s="4">
        <f>PI()*(C64/C65)^2/1000000</f>
        <v>7.3199929372211555E-6</v>
      </c>
      <c r="D66" t="s">
        <v>42</v>
      </c>
    </row>
    <row r="67" spans="1:24" x14ac:dyDescent="0.2">
      <c r="A67" s="148" t="s">
        <v>219</v>
      </c>
      <c r="B67" s="148" t="s">
        <v>210</v>
      </c>
      <c r="C67" s="146">
        <f t="shared" ref="C67:L67" si="145">C62/HMS_Acc*Sieve_Solid_angle*15/10*C_5</f>
        <v>0.11387179326861763</v>
      </c>
      <c r="D67" s="146">
        <f t="shared" si="145"/>
        <v>0.72342860793897534</v>
      </c>
      <c r="E67" s="146">
        <f t="shared" si="145"/>
        <v>2.2441889911991146</v>
      </c>
      <c r="F67" s="146">
        <f t="shared" si="145"/>
        <v>0.10585022895968713</v>
      </c>
      <c r="G67" s="146">
        <f t="shared" si="145"/>
        <v>0.46597892193782087</v>
      </c>
      <c r="H67" s="146">
        <f t="shared" si="145"/>
        <v>4.1421097791758593E-2</v>
      </c>
      <c r="I67" s="147">
        <f t="shared" si="145"/>
        <v>0.10613990720952143</v>
      </c>
      <c r="J67" s="147">
        <f t="shared" si="145"/>
        <v>0.50508384415458518</v>
      </c>
      <c r="K67" s="147">
        <f t="shared" si="145"/>
        <v>1.4055678098123905</v>
      </c>
      <c r="L67" s="147">
        <f t="shared" si="145"/>
        <v>0.24382865935400488</v>
      </c>
      <c r="M67" s="165">
        <f t="shared" ref="M67:P67" si="146">M62/HMS_Acc*Sieve_Solid_angle</f>
        <v>4.1555133712938633E-2</v>
      </c>
      <c r="N67" s="165">
        <f t="shared" si="146"/>
        <v>0.30284888844174962</v>
      </c>
      <c r="O67" s="165">
        <f t="shared" si="146"/>
        <v>0.98200768131975535</v>
      </c>
      <c r="P67" s="165">
        <f t="shared" si="146"/>
        <v>0.39887160525920712</v>
      </c>
      <c r="Q67" s="148" t="s">
        <v>219</v>
      </c>
      <c r="R67" s="161">
        <f>R62/HMS_Acc*Sieve_Solid_angle</f>
        <v>1.3712015820493981</v>
      </c>
      <c r="S67" s="161">
        <f>S62/HMS_Acc*Sieve_Solid_angle</f>
        <v>4.2242060793579457</v>
      </c>
      <c r="T67" s="161">
        <f>T62/HMS_Acc*Sieve_Solid_angle</f>
        <v>18.126853377116028</v>
      </c>
      <c r="U67" s="161">
        <f>U62/HMS_Acc*Sieve_Solid_angle</f>
        <v>4.8642775222258186</v>
      </c>
    </row>
    <row r="68" spans="1:24" x14ac:dyDescent="0.2">
      <c r="A68" s="148"/>
      <c r="B68" s="148"/>
      <c r="C68" s="4">
        <f>C67*3600</f>
        <v>409.93845576702347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4" x14ac:dyDescent="0.2">
      <c r="A69" s="148" t="s">
        <v>246</v>
      </c>
      <c r="B69" s="148"/>
      <c r="C69" s="4" t="s">
        <v>247</v>
      </c>
      <c r="D69" s="4"/>
      <c r="E69" s="4"/>
      <c r="F69" s="4" t="s">
        <v>248</v>
      </c>
      <c r="G69" s="4">
        <v>4.3999999999999997E-2</v>
      </c>
      <c r="H69" s="4" t="s">
        <v>224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4" x14ac:dyDescent="0.2">
      <c r="A70" s="148" t="s">
        <v>249</v>
      </c>
      <c r="B70" s="148" t="s">
        <v>210</v>
      </c>
      <c r="C70" s="146">
        <f t="shared" ref="C70:P70" si="147">C67*$G$69/C_5</f>
        <v>4.414413131118216E-2</v>
      </c>
      <c r="D70" s="146">
        <f t="shared" si="147"/>
        <v>0.28044809470762039</v>
      </c>
      <c r="E70" s="146">
        <f t="shared" si="147"/>
        <v>0.86999397015648483</v>
      </c>
      <c r="F70" s="146">
        <f t="shared" si="147"/>
        <v>4.1034449993182676E-2</v>
      </c>
      <c r="G70" s="146">
        <f t="shared" si="147"/>
        <v>0.18064381114770148</v>
      </c>
      <c r="H70" s="146">
        <f t="shared" si="147"/>
        <v>1.6057518086672933E-2</v>
      </c>
      <c r="I70" s="147">
        <f t="shared" si="147"/>
        <v>4.1146748169329894E-2</v>
      </c>
      <c r="J70" s="147">
        <f t="shared" si="147"/>
        <v>0.19580342857094049</v>
      </c>
      <c r="K70" s="147">
        <f t="shared" si="147"/>
        <v>0.54488972362771082</v>
      </c>
      <c r="L70" s="147">
        <f t="shared" si="147"/>
        <v>9.4523885564548132E-2</v>
      </c>
      <c r="M70" s="165">
        <f t="shared" si="147"/>
        <v>1.6109479148628189E-2</v>
      </c>
      <c r="N70" s="165">
        <f t="shared" si="147"/>
        <v>0.11740397437389412</v>
      </c>
      <c r="O70" s="165">
        <f t="shared" si="147"/>
        <v>0.38069020244994922</v>
      </c>
      <c r="P70" s="165">
        <f t="shared" si="147"/>
        <v>0.15462863992427411</v>
      </c>
      <c r="Q70" s="4" t="str">
        <f>A70</f>
        <v>Optics Rate/hole/foil</v>
      </c>
      <c r="R70" s="176">
        <f>R67*$G$69/C_5</f>
        <v>0.53156713312928205</v>
      </c>
      <c r="S70" s="176">
        <f>S67*$G$69/C_5</f>
        <v>1.6375776871519789</v>
      </c>
      <c r="T70" s="176">
        <f>T67*$G$69/C_5</f>
        <v>7.0271502078687673</v>
      </c>
      <c r="U70" s="176">
        <f>U67*$G$69/C_5</f>
        <v>1.8857111099377621</v>
      </c>
    </row>
    <row r="71" spans="1:24" x14ac:dyDescent="0.2">
      <c r="A71" s="148" t="s">
        <v>250</v>
      </c>
      <c r="B71" s="148"/>
      <c r="C71" s="177">
        <f>IF(C43&lt;10,C50+C51,0)</f>
        <v>1.9166666666666665</v>
      </c>
      <c r="D71" s="177">
        <f t="shared" ref="D71:U71" si="148">IF(D43&lt;10,D50+D51,0)</f>
        <v>0.91666666666666674</v>
      </c>
      <c r="E71" s="177">
        <f t="shared" si="148"/>
        <v>0</v>
      </c>
      <c r="F71" s="177">
        <f t="shared" si="148"/>
        <v>2.125</v>
      </c>
      <c r="G71" s="177">
        <f t="shared" si="148"/>
        <v>1.5416666666666665</v>
      </c>
      <c r="H71" s="177">
        <f t="shared" si="148"/>
        <v>3.6666666666666665</v>
      </c>
      <c r="I71" s="177">
        <f t="shared" si="148"/>
        <v>0</v>
      </c>
      <c r="J71" s="177">
        <f t="shared" si="148"/>
        <v>0</v>
      </c>
      <c r="K71" s="177">
        <f t="shared" si="148"/>
        <v>0</v>
      </c>
      <c r="L71" s="177">
        <f t="shared" si="148"/>
        <v>0</v>
      </c>
      <c r="M71" s="177">
        <f t="shared" si="148"/>
        <v>20</v>
      </c>
      <c r="N71" s="177">
        <f t="shared" si="148"/>
        <v>0</v>
      </c>
      <c r="O71" s="177">
        <f t="shared" si="148"/>
        <v>0</v>
      </c>
      <c r="P71" s="177">
        <f t="shared" si="148"/>
        <v>0</v>
      </c>
      <c r="Q71" s="177">
        <f t="shared" si="148"/>
        <v>0</v>
      </c>
      <c r="R71" s="177">
        <f t="shared" si="148"/>
        <v>2</v>
      </c>
      <c r="S71" s="177">
        <f t="shared" si="148"/>
        <v>2</v>
      </c>
      <c r="T71" s="177">
        <f t="shared" si="148"/>
        <v>2</v>
      </c>
      <c r="U71" s="177">
        <f t="shared" si="148"/>
        <v>2</v>
      </c>
      <c r="V71" s="178">
        <f>SUM(C71:U71)</f>
        <v>38.166666666666664</v>
      </c>
      <c r="W71" s="178">
        <f>V71*24*3600</f>
        <v>3297600</v>
      </c>
    </row>
    <row r="72" spans="1:24" x14ac:dyDescent="0.2">
      <c r="A72" t="s">
        <v>71</v>
      </c>
      <c r="B72" t="s">
        <v>53</v>
      </c>
      <c r="D72">
        <f>D17/(1+D17/MProton*(1-COS(ASIN(D26))))</f>
        <v>6.6136983035439654</v>
      </c>
      <c r="E72">
        <f>E17/(1+E17/MProton*(1-COS(ASIN(E26))))</f>
        <v>7.3634597651119744</v>
      </c>
      <c r="J72">
        <f>K17/(1+K17/MProton*(1-COS(ASIN(K26))))</f>
        <v>6.1456079644715604</v>
      </c>
      <c r="K72">
        <f>L17/(1+L17/MProton*(1-COS(ASIN(L26))))</f>
        <v>7.5065052794444735</v>
      </c>
      <c r="L72">
        <f>M17/(1+M17/MProton*(1-COS(ASIN(M26))))</f>
        <v>5.5409239110143034</v>
      </c>
      <c r="M72">
        <f>N17/(1+N17/MProton*(1-COS(ASIN(N26))))</f>
        <v>6.1675377552441359</v>
      </c>
      <c r="V72" t="s">
        <v>251</v>
      </c>
      <c r="W72" t="s">
        <v>252</v>
      </c>
    </row>
    <row r="73" spans="1:24" x14ac:dyDescent="0.2">
      <c r="A73" t="s">
        <v>72</v>
      </c>
      <c r="B73" t="s">
        <v>48</v>
      </c>
      <c r="D73">
        <f>2*D72*D17*(1-COS(D27*PI()/180))</f>
        <v>3.5077608532385409</v>
      </c>
      <c r="E73">
        <f>2*E72*E17*(1-COS(E27*PI()/180))</f>
        <v>5.9939790412784548</v>
      </c>
      <c r="J73">
        <f>2*J72*M17*(1-COS(M27*PI()/180))</f>
        <v>1.7817719258486895</v>
      </c>
      <c r="K73">
        <f>2*K72*N17*(1-COS(N27*PI()/180))</f>
        <v>5.288329055016904</v>
      </c>
      <c r="L73">
        <f>2*L72*O17*(1-COS(O27*PI()/180))</f>
        <v>6.1882267951647973</v>
      </c>
      <c r="M73">
        <f>2*M72*P17*(1-COS(P27*PI()/180))</f>
        <v>5.1028651087544281</v>
      </c>
    </row>
    <row r="74" spans="1:24" x14ac:dyDescent="0.2">
      <c r="A74" t="s">
        <v>73</v>
      </c>
      <c r="B74" t="s">
        <v>53</v>
      </c>
      <c r="D74" s="34">
        <f>(D17-D72)+MProton</f>
        <v>2.8075075874202513</v>
      </c>
      <c r="E74" s="34">
        <f>(E17-E72)+MProton</f>
        <v>4.1323578605220188</v>
      </c>
      <c r="J74" s="34">
        <f>(K17-J72)+MProton</f>
        <v>5.3502096611624328</v>
      </c>
      <c r="K74" s="34">
        <f>(L17-K72)+MProton</f>
        <v>3.9893123461895197</v>
      </c>
      <c r="L74" s="34">
        <f>(M17-L72)+MProton</f>
        <v>1.7943458035509465</v>
      </c>
      <c r="M74" s="34">
        <f>(N17-M72)+MProton</f>
        <v>3.2536681357200807</v>
      </c>
    </row>
    <row r="75" spans="1:24" x14ac:dyDescent="0.2">
      <c r="A75" t="s">
        <v>74</v>
      </c>
      <c r="B75" t="s">
        <v>69</v>
      </c>
      <c r="D75">
        <f>SQRT(D74^2-MProton^2)</f>
        <v>2.6460710427768714</v>
      </c>
      <c r="E75">
        <f>SQRT(E74^2-MProton^2)</f>
        <v>4.0244222687757452</v>
      </c>
      <c r="J75">
        <f>SQRT(J74^2-MProton^2)</f>
        <v>5.2672892960607198</v>
      </c>
      <c r="K75">
        <f>SQRT(K74^2-MProton^2)</f>
        <v>3.8773968207368368</v>
      </c>
      <c r="L75">
        <f>SQRT(L74^2-MProton^2)</f>
        <v>1.5294672185832856</v>
      </c>
      <c r="M75">
        <f>SQRT(M74^2-MProton^2)</f>
        <v>3.1154372802866996</v>
      </c>
    </row>
    <row r="76" spans="1:24" x14ac:dyDescent="0.2">
      <c r="A76" t="s">
        <v>75</v>
      </c>
      <c r="B76" t="s">
        <v>39</v>
      </c>
      <c r="D76">
        <f>ASIN(D72*D26/D75)*180/PI()</f>
        <v>38.32138041306235</v>
      </c>
      <c r="E76">
        <f>ASIN(E72*E26/E75)*180/PI()</f>
        <v>30.207833901151226</v>
      </c>
      <c r="J76">
        <f>ASIN(J72*M26/J75)*180/PI()</f>
        <v>14.298793826225575</v>
      </c>
      <c r="K76">
        <f>ASIN(K72*N26/K75)*180/PI()</f>
        <v>33.51045977158595</v>
      </c>
      <c r="L76" t="e">
        <f>ASIN(L72*O26/L75)*180/PI()</f>
        <v>#NUM!</v>
      </c>
      <c r="M76">
        <f>ASIN(M72*P26/M75)*180/PI()</f>
        <v>33.280568041631859</v>
      </c>
      <c r="P76" t="s">
        <v>235</v>
      </c>
    </row>
    <row r="77" spans="1:24" ht="17" x14ac:dyDescent="0.25">
      <c r="P77" s="174" t="s">
        <v>242</v>
      </c>
    </row>
    <row r="78" spans="1:24" ht="17" x14ac:dyDescent="0.25">
      <c r="A78" t="s">
        <v>188</v>
      </c>
      <c r="P78" s="174" t="s">
        <v>243</v>
      </c>
    </row>
    <row r="79" spans="1:24" ht="17" x14ac:dyDescent="0.25">
      <c r="A79" t="s">
        <v>189</v>
      </c>
      <c r="B79" s="195"/>
      <c r="C79" s="195"/>
      <c r="D79" s="195"/>
      <c r="P79" s="174" t="s">
        <v>244</v>
      </c>
    </row>
    <row r="80" spans="1:24" ht="17" x14ac:dyDescent="0.25">
      <c r="B80" s="195"/>
      <c r="C80" s="195"/>
      <c r="D80" s="195"/>
      <c r="H80">
        <f>6.7*0.12</f>
        <v>0.80399999999999994</v>
      </c>
      <c r="P80" s="174" t="s">
        <v>245</v>
      </c>
    </row>
    <row r="81" spans="1:22" ht="17" x14ac:dyDescent="0.25">
      <c r="B81" s="195"/>
      <c r="C81" s="195"/>
      <c r="D81" s="195"/>
      <c r="H81">
        <f>6*0.16</f>
        <v>0.96</v>
      </c>
      <c r="P81" s="174" t="s">
        <v>236</v>
      </c>
    </row>
    <row r="82" spans="1:22" ht="17" x14ac:dyDescent="0.25">
      <c r="A82" s="196"/>
      <c r="B82" s="196"/>
      <c r="C82" s="196"/>
      <c r="D82" s="196"/>
      <c r="P82" s="174" t="s">
        <v>237</v>
      </c>
    </row>
    <row r="83" spans="1:22" ht="17" x14ac:dyDescent="0.25">
      <c r="A83" s="196"/>
      <c r="B83" s="196"/>
      <c r="C83" s="196"/>
      <c r="D83" s="196"/>
      <c r="P83" s="174" t="s">
        <v>238</v>
      </c>
    </row>
    <row r="84" spans="1:22" ht="17" x14ac:dyDescent="0.25">
      <c r="A84" s="196"/>
      <c r="B84" s="196"/>
      <c r="C84" s="196"/>
      <c r="D84" s="196"/>
      <c r="P84" s="175" t="s">
        <v>239</v>
      </c>
    </row>
    <row r="85" spans="1:22" ht="17" x14ac:dyDescent="0.25">
      <c r="P85" s="175" t="s">
        <v>240</v>
      </c>
    </row>
    <row r="86" spans="1:22" ht="17" x14ac:dyDescent="0.25">
      <c r="P86" s="174" t="s">
        <v>241</v>
      </c>
    </row>
    <row r="87" spans="1:22" x14ac:dyDescent="0.2">
      <c r="A87" t="s">
        <v>255</v>
      </c>
      <c r="B87" t="s">
        <v>256</v>
      </c>
      <c r="C87" s="3">
        <f>0.135/C33*C36*100</f>
        <v>9.3018283528353169</v>
      </c>
      <c r="D87" s="3">
        <f t="shared" ref="D87:U87" si="149">0.135/D33*D36*100</f>
        <v>9.3018283528353169</v>
      </c>
      <c r="E87" s="3">
        <f t="shared" si="149"/>
        <v>9.3018283528353169</v>
      </c>
      <c r="F87" s="3">
        <f t="shared" si="149"/>
        <v>9.258817498209762</v>
      </c>
      <c r="G87" s="3">
        <f t="shared" si="149"/>
        <v>6.9441131236573224</v>
      </c>
      <c r="H87" s="3">
        <f t="shared" si="149"/>
        <v>6.7072761862495573</v>
      </c>
      <c r="I87" s="3">
        <f t="shared" si="149"/>
        <v>11.319891551559108</v>
      </c>
      <c r="J87" s="3">
        <f t="shared" si="149"/>
        <v>11.319891551559108</v>
      </c>
      <c r="K87" s="3">
        <f t="shared" si="149"/>
        <v>11.319891551559108</v>
      </c>
      <c r="L87" s="3">
        <f t="shared" si="149"/>
        <v>7.9148971869730831</v>
      </c>
      <c r="M87" s="3">
        <f t="shared" si="149"/>
        <v>9.2804562552565439</v>
      </c>
      <c r="N87" s="3">
        <f t="shared" si="149"/>
        <v>9.2804562552565439</v>
      </c>
      <c r="O87" s="3">
        <f t="shared" si="149"/>
        <v>9.2804562552565439</v>
      </c>
      <c r="P87" s="3">
        <f t="shared" si="149"/>
        <v>7.8153673244048454</v>
      </c>
      <c r="Q87" s="3"/>
      <c r="R87" s="3">
        <f t="shared" si="149"/>
        <v>17.49839280725902</v>
      </c>
      <c r="S87" s="3">
        <f t="shared" si="149"/>
        <v>10.198542365211674</v>
      </c>
      <c r="T87" s="3">
        <f t="shared" si="149"/>
        <v>10.633047536416386</v>
      </c>
      <c r="U87" s="3">
        <f t="shared" si="149"/>
        <v>12.741778489104844</v>
      </c>
    </row>
    <row r="89" spans="1:22" x14ac:dyDescent="0.2">
      <c r="V89" t="s">
        <v>260</v>
      </c>
    </row>
    <row r="90" spans="1:22" x14ac:dyDescent="0.2">
      <c r="A90" t="s">
        <v>257</v>
      </c>
      <c r="C90" s="3">
        <f>IF(C$16=3,C$50+C$51,0)</f>
        <v>1.9166666666666665</v>
      </c>
      <c r="D90" s="3">
        <f t="shared" ref="D90:U90" si="150">IF(D$16=3,D$50+D$51,0)</f>
        <v>0</v>
      </c>
      <c r="E90" s="3">
        <f t="shared" si="150"/>
        <v>0</v>
      </c>
      <c r="F90" s="3">
        <f t="shared" si="150"/>
        <v>0</v>
      </c>
      <c r="G90" s="3">
        <f t="shared" si="150"/>
        <v>0</v>
      </c>
      <c r="H90" s="3">
        <f t="shared" si="150"/>
        <v>0</v>
      </c>
      <c r="I90" s="3">
        <f t="shared" si="150"/>
        <v>6.166666666666667</v>
      </c>
      <c r="J90" s="3">
        <f t="shared" si="150"/>
        <v>0</v>
      </c>
      <c r="K90" s="3">
        <f t="shared" si="150"/>
        <v>0</v>
      </c>
      <c r="L90" s="3">
        <f t="shared" si="150"/>
        <v>0</v>
      </c>
      <c r="M90" s="3">
        <f t="shared" si="150"/>
        <v>20</v>
      </c>
      <c r="N90" s="3">
        <f t="shared" si="150"/>
        <v>0</v>
      </c>
      <c r="O90" s="3">
        <f t="shared" si="150"/>
        <v>0</v>
      </c>
      <c r="P90" s="3">
        <f t="shared" si="150"/>
        <v>0</v>
      </c>
      <c r="Q90" s="3">
        <f t="shared" si="150"/>
        <v>0</v>
      </c>
      <c r="R90" s="3">
        <f t="shared" si="150"/>
        <v>2</v>
      </c>
      <c r="S90" s="3">
        <f t="shared" si="150"/>
        <v>0</v>
      </c>
      <c r="T90" s="3">
        <f t="shared" si="150"/>
        <v>0</v>
      </c>
      <c r="U90" s="3">
        <f t="shared" si="150"/>
        <v>0</v>
      </c>
      <c r="V90" s="3">
        <f>SUM(C90:U90)</f>
        <v>30.083333333333336</v>
      </c>
    </row>
    <row r="91" spans="1:22" x14ac:dyDescent="0.2">
      <c r="A91" t="s">
        <v>258</v>
      </c>
      <c r="C91" s="3">
        <f>IF(C$16=4,C$50+C$51,0)</f>
        <v>0</v>
      </c>
      <c r="D91" s="3">
        <f t="shared" ref="D91:U91" si="151">IF(D$16=4,D$50+D$51,0)</f>
        <v>0.91666666666666674</v>
      </c>
      <c r="E91" s="3">
        <f t="shared" si="151"/>
        <v>0</v>
      </c>
      <c r="F91" s="3">
        <f t="shared" si="151"/>
        <v>2.125</v>
      </c>
      <c r="G91" s="3">
        <f t="shared" si="151"/>
        <v>0</v>
      </c>
      <c r="H91" s="3">
        <f t="shared" si="151"/>
        <v>0</v>
      </c>
      <c r="I91" s="3">
        <f t="shared" si="151"/>
        <v>0</v>
      </c>
      <c r="J91" s="3">
        <f t="shared" si="151"/>
        <v>3</v>
      </c>
      <c r="K91" s="3">
        <f t="shared" si="151"/>
        <v>0</v>
      </c>
      <c r="L91" s="3">
        <f t="shared" si="151"/>
        <v>0</v>
      </c>
      <c r="M91" s="3">
        <f t="shared" si="151"/>
        <v>0</v>
      </c>
      <c r="N91" s="3">
        <f t="shared" si="151"/>
        <v>15</v>
      </c>
      <c r="O91" s="3">
        <f t="shared" si="151"/>
        <v>0</v>
      </c>
      <c r="P91" s="3">
        <f t="shared" si="151"/>
        <v>0</v>
      </c>
      <c r="Q91" s="3">
        <f t="shared" si="151"/>
        <v>0</v>
      </c>
      <c r="R91" s="3">
        <f t="shared" si="151"/>
        <v>0</v>
      </c>
      <c r="S91" s="3">
        <f t="shared" si="151"/>
        <v>2</v>
      </c>
      <c r="T91" s="3">
        <f t="shared" si="151"/>
        <v>0</v>
      </c>
      <c r="U91" s="3">
        <f t="shared" si="151"/>
        <v>0</v>
      </c>
      <c r="V91" s="3">
        <f t="shared" ref="V91:V92" si="152">SUM(C91:U91)</f>
        <v>23.041666666666668</v>
      </c>
    </row>
    <row r="92" spans="1:22" x14ac:dyDescent="0.2">
      <c r="A92" t="s">
        <v>259</v>
      </c>
      <c r="C92" s="3">
        <f>IF(C$16=5,C$50+C$51,0)</f>
        <v>0</v>
      </c>
      <c r="D92" s="3">
        <f t="shared" ref="D92:U92" si="153">IF(D$16=5,D$50+D$51,0)</f>
        <v>0</v>
      </c>
      <c r="E92" s="3">
        <f t="shared" si="153"/>
        <v>0.58299999999999996</v>
      </c>
      <c r="F92" s="3">
        <f t="shared" si="153"/>
        <v>0</v>
      </c>
      <c r="G92" s="3">
        <f t="shared" si="153"/>
        <v>1.5416666666666665</v>
      </c>
      <c r="H92" s="3">
        <f t="shared" si="153"/>
        <v>3.6666666666666665</v>
      </c>
      <c r="I92" s="3">
        <f t="shared" si="153"/>
        <v>0</v>
      </c>
      <c r="J92" s="3">
        <f t="shared" si="153"/>
        <v>0</v>
      </c>
      <c r="K92" s="3">
        <f t="shared" si="153"/>
        <v>2.416666666666667</v>
      </c>
      <c r="L92" s="3">
        <f t="shared" si="153"/>
        <v>5</v>
      </c>
      <c r="M92" s="3">
        <f t="shared" si="153"/>
        <v>0</v>
      </c>
      <c r="N92" s="3">
        <f t="shared" si="153"/>
        <v>0</v>
      </c>
      <c r="O92" s="3">
        <f t="shared" si="153"/>
        <v>9</v>
      </c>
      <c r="P92" s="3">
        <f t="shared" si="153"/>
        <v>15</v>
      </c>
      <c r="Q92" s="3">
        <f t="shared" si="153"/>
        <v>0</v>
      </c>
      <c r="R92" s="3">
        <f t="shared" si="153"/>
        <v>0</v>
      </c>
      <c r="S92" s="3">
        <f t="shared" si="153"/>
        <v>0</v>
      </c>
      <c r="T92" s="3">
        <f t="shared" si="153"/>
        <v>2</v>
      </c>
      <c r="U92" s="3">
        <f t="shared" si="153"/>
        <v>2</v>
      </c>
      <c r="V92" s="3">
        <f t="shared" si="152"/>
        <v>41.207999999999998</v>
      </c>
    </row>
    <row r="93" spans="1:22" x14ac:dyDescent="0.2">
      <c r="U93" t="s">
        <v>261</v>
      </c>
      <c r="V93" s="3">
        <f>SUM(V90:V92)</f>
        <v>94.332999999999998</v>
      </c>
    </row>
  </sheetData>
  <mergeCells count="15">
    <mergeCell ref="B79:D81"/>
    <mergeCell ref="A82:D84"/>
    <mergeCell ref="E58:F58"/>
    <mergeCell ref="I58:J58"/>
    <mergeCell ref="I14:L14"/>
    <mergeCell ref="I57:L57"/>
    <mergeCell ref="A58:B58"/>
    <mergeCell ref="C13:M13"/>
    <mergeCell ref="J2:L6"/>
    <mergeCell ref="D14:E14"/>
    <mergeCell ref="C57:H57"/>
    <mergeCell ref="R57:U57"/>
    <mergeCell ref="M14:P14"/>
    <mergeCell ref="R14:U14"/>
    <mergeCell ref="M57:P57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13"/>
  <sheetViews>
    <sheetView topLeftCell="A90" workbookViewId="0">
      <selection activeCell="I101" sqref="I101"/>
    </sheetView>
  </sheetViews>
  <sheetFormatPr baseColWidth="10" defaultRowHeight="16" x14ac:dyDescent="0.2"/>
  <sheetData>
    <row r="1" spans="2:20" x14ac:dyDescent="0.2">
      <c r="B1" t="s">
        <v>194</v>
      </c>
    </row>
    <row r="2" spans="2:20" x14ac:dyDescent="0.2">
      <c r="B2" t="s">
        <v>195</v>
      </c>
    </row>
    <row r="3" spans="2:20" x14ac:dyDescent="0.2">
      <c r="C3" t="s">
        <v>196</v>
      </c>
      <c r="D3">
        <v>6</v>
      </c>
      <c r="E3" t="s">
        <v>48</v>
      </c>
      <c r="K3" t="s">
        <v>197</v>
      </c>
      <c r="L3">
        <v>3</v>
      </c>
      <c r="M3" t="s">
        <v>48</v>
      </c>
    </row>
    <row r="4" spans="2:20" x14ac:dyDescent="0.2">
      <c r="C4">
        <v>1003</v>
      </c>
      <c r="D4">
        <v>1004</v>
      </c>
      <c r="E4">
        <v>1005</v>
      </c>
      <c r="F4">
        <v>1006</v>
      </c>
      <c r="G4">
        <v>1007</v>
      </c>
      <c r="K4">
        <v>1003</v>
      </c>
      <c r="L4">
        <v>1004</v>
      </c>
      <c r="M4">
        <v>1005</v>
      </c>
      <c r="N4">
        <v>1006</v>
      </c>
      <c r="O4">
        <v>1007</v>
      </c>
    </row>
    <row r="5" spans="2:20" x14ac:dyDescent="0.2">
      <c r="B5" t="s">
        <v>1</v>
      </c>
      <c r="C5" t="s">
        <v>198</v>
      </c>
      <c r="D5" t="s">
        <v>199</v>
      </c>
      <c r="E5" t="s">
        <v>200</v>
      </c>
      <c r="F5" t="s">
        <v>201</v>
      </c>
      <c r="G5" t="s">
        <v>202</v>
      </c>
      <c r="H5" t="str">
        <f>_xlfn.CONCAT("F2_p ",C3)</f>
        <v>F2_p Q2=6.0</v>
      </c>
      <c r="I5" t="s">
        <v>222</v>
      </c>
      <c r="K5" t="s">
        <v>198</v>
      </c>
      <c r="L5" t="s">
        <v>199</v>
      </c>
      <c r="M5" t="s">
        <v>200</v>
      </c>
      <c r="N5" t="s">
        <v>201</v>
      </c>
      <c r="O5" t="s">
        <v>202</v>
      </c>
      <c r="P5" t="str">
        <f>_xlfn.CONCAT("F2 ",K3)</f>
        <v>F2 Q2=3.0</v>
      </c>
      <c r="Q5" t="s">
        <v>203</v>
      </c>
      <c r="R5" t="s">
        <v>205</v>
      </c>
    </row>
    <row r="6" spans="2:20" ht="17" x14ac:dyDescent="0.2">
      <c r="B6" s="138">
        <v>1E-3</v>
      </c>
      <c r="C6" s="138">
        <v>0.43122199999999999</v>
      </c>
      <c r="D6" s="138">
        <v>0.43428539999999999</v>
      </c>
      <c r="E6" s="138">
        <v>6.1325370000000001</v>
      </c>
      <c r="F6" s="138">
        <v>0.4601983</v>
      </c>
      <c r="G6" s="138">
        <v>0.4780182</v>
      </c>
      <c r="H6">
        <f t="shared" ref="H6:H70" si="0">(4/9)*(C6+G6)+(1/9)*(D6+F6)</f>
        <v>0.50349383333333331</v>
      </c>
      <c r="I6">
        <f>(5/18)*($C6+$G6)+(5/18)*($D6+$F6)</f>
        <v>0.5010344166666667</v>
      </c>
      <c r="K6" s="138">
        <v>0.33304400000000001</v>
      </c>
      <c r="L6" s="138">
        <v>0.33565119999999998</v>
      </c>
      <c r="N6" s="138">
        <v>0.35875269999999998</v>
      </c>
      <c r="O6" s="138">
        <v>0.37502210000000002</v>
      </c>
      <c r="P6">
        <f>(4/9)*(K6+O6)+(1/9)*(L6+N6)</f>
        <v>0.39185203333333329</v>
      </c>
      <c r="Q6">
        <f>P6/H6</f>
        <v>0.77826580464573714</v>
      </c>
      <c r="R6">
        <f>DIS!H92*LN('DVCS-Kin'!C18/DIS!$L$3)/LN(DIS!$D$3/DIS!$L$3)-DIS!P92</f>
        <v>-0.2764378116666667</v>
      </c>
      <c r="T6">
        <f>LN(2)</f>
        <v>0.69314718055994529</v>
      </c>
    </row>
    <row r="7" spans="2:20" ht="17" x14ac:dyDescent="0.2">
      <c r="B7" s="138">
        <v>1.0715189999999999E-3</v>
      </c>
      <c r="C7" s="138">
        <v>0.42426809999999998</v>
      </c>
      <c r="D7" s="138">
        <v>0.4274811</v>
      </c>
      <c r="E7" s="138">
        <v>6.0712440000000001</v>
      </c>
      <c r="F7" s="138">
        <v>0.4544648</v>
      </c>
      <c r="G7" s="138">
        <v>0.47286840000000002</v>
      </c>
      <c r="H7">
        <f t="shared" si="0"/>
        <v>0.49672132222222221</v>
      </c>
      <c r="I7">
        <f t="shared" ref="I7:I70" si="1">(5/18)*($C7+$G7)+(5/18)*($D7+$F7)</f>
        <v>0.4941895555555556</v>
      </c>
      <c r="K7" s="138">
        <v>0.32781070000000001</v>
      </c>
      <c r="L7" s="138">
        <v>0.3305497</v>
      </c>
      <c r="N7" s="138">
        <v>0.35462779999999999</v>
      </c>
      <c r="O7" s="138">
        <v>0.37143179999999998</v>
      </c>
      <c r="P7">
        <f t="shared" ref="P7:P70" si="2">(4/9)*(K7+O7)+(1/9)*(L7+N7)</f>
        <v>0.38690527777777772</v>
      </c>
      <c r="Q7">
        <f t="shared" ref="Q7:Q70" si="3">P7/H7</f>
        <v>0.77891819913598315</v>
      </c>
      <c r="R7">
        <f t="shared" ref="R7:R70" si="4">Q7/LN(D$3/L$3)</f>
        <v>1.1237414231516449</v>
      </c>
    </row>
    <row r="8" spans="2:20" ht="17" x14ac:dyDescent="0.2">
      <c r="B8" s="138">
        <v>1.148154E-3</v>
      </c>
      <c r="C8" s="138">
        <v>0.41759750000000001</v>
      </c>
      <c r="D8" s="138">
        <v>0.4209677</v>
      </c>
      <c r="E8" s="138">
        <v>6.0124550000000001</v>
      </c>
      <c r="F8" s="138">
        <v>0.44906600000000002</v>
      </c>
      <c r="G8" s="138">
        <v>0.46807219999999999</v>
      </c>
      <c r="H8">
        <f t="shared" si="0"/>
        <v>0.49030138888888886</v>
      </c>
      <c r="I8">
        <f t="shared" si="1"/>
        <v>0.48769538888888891</v>
      </c>
      <c r="K8" s="138">
        <v>0.32281779999999999</v>
      </c>
      <c r="L8" s="138">
        <v>0.32569589999999998</v>
      </c>
      <c r="N8" s="138">
        <v>0.35079169999999998</v>
      </c>
      <c r="O8" s="138">
        <v>0.36814770000000002</v>
      </c>
      <c r="P8">
        <f t="shared" si="2"/>
        <v>0.38226106666666659</v>
      </c>
      <c r="Q8">
        <f t="shared" si="3"/>
        <v>0.77964508224816353</v>
      </c>
      <c r="R8">
        <f t="shared" si="4"/>
        <v>1.1247900938128936</v>
      </c>
    </row>
    <row r="9" spans="2:20" ht="17" x14ac:dyDescent="0.2">
      <c r="B9" s="138">
        <v>1.230269E-3</v>
      </c>
      <c r="C9" s="138">
        <v>0.41125469999999997</v>
      </c>
      <c r="D9" s="138">
        <v>0.41479009999999999</v>
      </c>
      <c r="E9" s="138">
        <v>5.9567050000000004</v>
      </c>
      <c r="F9" s="138">
        <v>0.44404850000000001</v>
      </c>
      <c r="G9" s="138">
        <v>0.4636769</v>
      </c>
      <c r="H9">
        <f t="shared" si="0"/>
        <v>0.48428500000000002</v>
      </c>
      <c r="I9">
        <f t="shared" si="1"/>
        <v>0.48160283333333331</v>
      </c>
      <c r="K9" s="138">
        <v>0.31809959999999998</v>
      </c>
      <c r="L9" s="138">
        <v>0.32112420000000003</v>
      </c>
      <c r="N9" s="138">
        <v>0.3472807</v>
      </c>
      <c r="O9" s="138">
        <v>0.36520649999999999</v>
      </c>
      <c r="P9">
        <f t="shared" si="2"/>
        <v>0.37795881111111113</v>
      </c>
      <c r="Q9">
        <f t="shared" si="3"/>
        <v>0.78044707375019073</v>
      </c>
      <c r="R9">
        <f t="shared" si="4"/>
        <v>1.1259471229757032</v>
      </c>
    </row>
    <row r="10" spans="2:20" ht="17" x14ac:dyDescent="0.2">
      <c r="B10" s="138">
        <v>1.318257E-3</v>
      </c>
      <c r="C10" s="138">
        <v>0.40492479999999997</v>
      </c>
      <c r="D10" s="138">
        <v>0.40863369999999999</v>
      </c>
      <c r="E10" s="138">
        <v>5.9003560000000004</v>
      </c>
      <c r="F10" s="138">
        <v>0.4390983</v>
      </c>
      <c r="G10" s="138">
        <v>0.45936759999999999</v>
      </c>
      <c r="H10">
        <f t="shared" si="0"/>
        <v>0.47832239999999993</v>
      </c>
      <c r="I10">
        <f t="shared" si="1"/>
        <v>0.47556233333333331</v>
      </c>
      <c r="K10" s="138">
        <v>0.31341039999999998</v>
      </c>
      <c r="L10" s="138">
        <v>0.31658940000000002</v>
      </c>
      <c r="N10" s="138">
        <v>0.34385019999999999</v>
      </c>
      <c r="O10" s="138">
        <v>0.36236259999999998</v>
      </c>
      <c r="P10">
        <f t="shared" si="2"/>
        <v>0.37372573333333331</v>
      </c>
      <c r="Q10">
        <f t="shared" si="3"/>
        <v>0.78132601219038322</v>
      </c>
      <c r="R10">
        <f t="shared" si="4"/>
        <v>1.1272151631046157</v>
      </c>
    </row>
    <row r="11" spans="2:20" ht="17" x14ac:dyDescent="0.2">
      <c r="B11" s="138">
        <v>1.4125380000000001E-3</v>
      </c>
      <c r="C11" s="138">
        <v>0.39851150000000002</v>
      </c>
      <c r="D11" s="138">
        <v>0.40240290000000001</v>
      </c>
      <c r="E11" s="138">
        <v>5.8426609999999997</v>
      </c>
      <c r="F11" s="138">
        <v>0.43412289999999998</v>
      </c>
      <c r="G11" s="138">
        <v>0.45505329999999999</v>
      </c>
      <c r="H11">
        <f t="shared" si="0"/>
        <v>0.47230944444444439</v>
      </c>
      <c r="I11">
        <f t="shared" si="1"/>
        <v>0.46946961111111113</v>
      </c>
      <c r="K11" s="138">
        <v>0.30867139999999998</v>
      </c>
      <c r="L11" s="138">
        <v>0.31201279999999998</v>
      </c>
      <c r="N11" s="138">
        <v>0.34042440000000002</v>
      </c>
      <c r="O11" s="138">
        <v>0.35954130000000001</v>
      </c>
      <c r="P11">
        <f t="shared" si="2"/>
        <v>0.36947644444444439</v>
      </c>
      <c r="Q11">
        <f t="shared" si="3"/>
        <v>0.7822762148638428</v>
      </c>
      <c r="R11">
        <f t="shared" si="4"/>
        <v>1.1285860157894552</v>
      </c>
    </row>
    <row r="12" spans="2:20" ht="17" x14ac:dyDescent="0.2">
      <c r="B12" s="138">
        <v>1.5135610000000001E-3</v>
      </c>
      <c r="C12" s="138">
        <v>0.39249119999999998</v>
      </c>
      <c r="D12" s="138">
        <v>0.3965746</v>
      </c>
      <c r="E12" s="138">
        <v>5.7890079999999999</v>
      </c>
      <c r="F12" s="138">
        <v>0.42960219999999999</v>
      </c>
      <c r="G12" s="138">
        <v>0.45121620000000001</v>
      </c>
      <c r="H12">
        <f t="shared" si="0"/>
        <v>0.46677848888888884</v>
      </c>
      <c r="I12">
        <f t="shared" si="1"/>
        <v>0.4638567222222223</v>
      </c>
      <c r="K12" s="138">
        <v>0.3042552</v>
      </c>
      <c r="L12" s="138">
        <v>0.30776789999999998</v>
      </c>
      <c r="N12" s="138">
        <v>0.3373797</v>
      </c>
      <c r="O12" s="138">
        <v>0.35712120000000003</v>
      </c>
      <c r="P12">
        <f t="shared" si="2"/>
        <v>0.36562813333333333</v>
      </c>
      <c r="Q12">
        <f t="shared" si="3"/>
        <v>0.78330116326411692</v>
      </c>
      <c r="R12">
        <f t="shared" si="4"/>
        <v>1.1300647037636977</v>
      </c>
    </row>
    <row r="13" spans="2:20" ht="17" x14ac:dyDescent="0.2">
      <c r="B13" s="138">
        <v>1.62181E-3</v>
      </c>
      <c r="C13" s="138">
        <v>0.38668059999999999</v>
      </c>
      <c r="D13" s="138">
        <v>0.39096589999999998</v>
      </c>
      <c r="E13" s="138">
        <v>5.7370710000000003</v>
      </c>
      <c r="F13" s="138">
        <v>0.4253538</v>
      </c>
      <c r="G13" s="138">
        <v>0.44767279999999998</v>
      </c>
      <c r="H13">
        <f t="shared" si="0"/>
        <v>0.46152592222222216</v>
      </c>
      <c r="I13">
        <f t="shared" si="1"/>
        <v>0.45852030555555556</v>
      </c>
      <c r="K13" s="138">
        <v>0.30002119999999999</v>
      </c>
      <c r="L13" s="138">
        <v>0.3037145</v>
      </c>
      <c r="N13" s="138">
        <v>0.3345764</v>
      </c>
      <c r="O13" s="138">
        <v>0.3549621</v>
      </c>
      <c r="P13">
        <f t="shared" si="2"/>
        <v>0.36202489999999998</v>
      </c>
      <c r="Q13">
        <f t="shared" si="3"/>
        <v>0.78440859455276057</v>
      </c>
      <c r="R13">
        <f t="shared" si="4"/>
        <v>1.1316623893919493</v>
      </c>
    </row>
    <row r="14" spans="2:20" ht="17" x14ac:dyDescent="0.2">
      <c r="B14" s="138">
        <v>1.737801E-3</v>
      </c>
      <c r="C14" s="138">
        <v>0.3806812</v>
      </c>
      <c r="D14" s="138">
        <v>0.38517859999999998</v>
      </c>
      <c r="E14" s="138">
        <v>5.6818960000000001</v>
      </c>
      <c r="F14" s="138">
        <v>0.42097839999999997</v>
      </c>
      <c r="G14" s="138">
        <v>0.44402160000000002</v>
      </c>
      <c r="H14">
        <f t="shared" si="0"/>
        <v>0.45610757777777783</v>
      </c>
      <c r="I14">
        <f t="shared" si="1"/>
        <v>0.45301661111111113</v>
      </c>
      <c r="K14" s="138">
        <v>0.2956628</v>
      </c>
      <c r="L14" s="138">
        <v>0.2995466</v>
      </c>
      <c r="N14" s="138">
        <v>0.3317079</v>
      </c>
      <c r="O14" s="138">
        <v>0.3527555</v>
      </c>
      <c r="P14">
        <f t="shared" si="2"/>
        <v>0.35832529999999996</v>
      </c>
      <c r="Q14">
        <f t="shared" si="3"/>
        <v>0.7856157570234038</v>
      </c>
      <c r="R14">
        <f t="shared" si="4"/>
        <v>1.1334039567018934</v>
      </c>
    </row>
    <row r="15" spans="2:20" ht="17" x14ac:dyDescent="0.2">
      <c r="B15" s="138">
        <v>1.8620869999999999E-3</v>
      </c>
      <c r="C15" s="138">
        <v>0.3748937</v>
      </c>
      <c r="D15" s="138">
        <v>0.37961420000000001</v>
      </c>
      <c r="E15" s="138">
        <v>5.6283940000000001</v>
      </c>
      <c r="F15" s="138">
        <v>0.41688249999999999</v>
      </c>
      <c r="G15" s="138">
        <v>0.44067289999999998</v>
      </c>
      <c r="H15">
        <f t="shared" si="0"/>
        <v>0.45097367777777769</v>
      </c>
      <c r="I15">
        <f t="shared" si="1"/>
        <v>0.44779536111111112</v>
      </c>
      <c r="K15" s="138">
        <v>0.29148970000000002</v>
      </c>
      <c r="L15" s="138">
        <v>0.29557450000000002</v>
      </c>
      <c r="N15" s="138">
        <v>0.32908939999999998</v>
      </c>
      <c r="O15" s="138">
        <v>0.35082000000000002</v>
      </c>
      <c r="P15">
        <f t="shared" si="2"/>
        <v>0.35487807777777775</v>
      </c>
      <c r="Q15">
        <f t="shared" si="3"/>
        <v>0.78691527968212782</v>
      </c>
      <c r="R15">
        <f t="shared" si="4"/>
        <v>1.1352787715971575</v>
      </c>
    </row>
    <row r="16" spans="2:20" s="1" customFormat="1" ht="17" x14ac:dyDescent="0.2">
      <c r="B16" s="138">
        <v>1.9952619999999998E-3</v>
      </c>
      <c r="C16" s="138">
        <v>0.36940479999999998</v>
      </c>
      <c r="D16" s="138">
        <v>0.37436000000000003</v>
      </c>
      <c r="E16" s="138">
        <v>5.5776269999999997</v>
      </c>
      <c r="F16" s="138">
        <v>0.41315600000000002</v>
      </c>
      <c r="G16" s="138">
        <v>0.43771779999999999</v>
      </c>
      <c r="H16">
        <f t="shared" si="0"/>
        <v>0.44622293333333335</v>
      </c>
      <c r="I16">
        <f t="shared" si="1"/>
        <v>0.44295516666666668</v>
      </c>
      <c r="K16" s="138">
        <v>0.2875685</v>
      </c>
      <c r="L16" s="138">
        <v>0.2918654</v>
      </c>
      <c r="N16" s="138">
        <v>0.32679039999999998</v>
      </c>
      <c r="O16" s="138">
        <v>0.34922609999999998</v>
      </c>
      <c r="P16">
        <f t="shared" si="2"/>
        <v>0.35175935555555554</v>
      </c>
      <c r="Q16">
        <f t="shared" si="3"/>
        <v>0.78830407242378886</v>
      </c>
      <c r="R16">
        <f t="shared" si="4"/>
        <v>1.1372823759983746</v>
      </c>
    </row>
    <row r="17" spans="2:18" ht="17" x14ac:dyDescent="0.2">
      <c r="B17" s="138">
        <v>2.1379620000000002E-3</v>
      </c>
      <c r="C17" s="138">
        <v>0.36395830000000001</v>
      </c>
      <c r="D17" s="138">
        <v>0.36916019999999999</v>
      </c>
      <c r="E17" s="138">
        <v>5.526491</v>
      </c>
      <c r="F17" s="138">
        <v>0.40954390000000002</v>
      </c>
      <c r="G17" s="138">
        <v>0.43490040000000002</v>
      </c>
      <c r="H17">
        <f t="shared" si="0"/>
        <v>0.4415709888888889</v>
      </c>
      <c r="I17">
        <f t="shared" si="1"/>
        <v>0.4382118888888889</v>
      </c>
      <c r="K17" s="138">
        <v>0.28370050000000002</v>
      </c>
      <c r="L17" s="138">
        <v>0.288221</v>
      </c>
      <c r="N17" s="138">
        <v>0.32461380000000001</v>
      </c>
      <c r="O17" s="138">
        <v>0.34777540000000001</v>
      </c>
      <c r="P17">
        <f t="shared" si="2"/>
        <v>0.34874871111111111</v>
      </c>
      <c r="Q17">
        <f t="shared" si="3"/>
        <v>0.78979081481022217</v>
      </c>
      <c r="R17">
        <f t="shared" si="4"/>
        <v>1.1394272918663613</v>
      </c>
    </row>
    <row r="18" spans="2:18" ht="17" x14ac:dyDescent="0.2">
      <c r="B18" s="138">
        <v>2.2908680000000002E-3</v>
      </c>
      <c r="C18" s="138">
        <v>0.35839929999999998</v>
      </c>
      <c r="D18" s="138">
        <v>0.36386089999999999</v>
      </c>
      <c r="E18" s="138">
        <v>5.4734569999999998</v>
      </c>
      <c r="F18" s="138">
        <v>0.40589599999999998</v>
      </c>
      <c r="G18" s="138">
        <v>0.43207180000000001</v>
      </c>
      <c r="H18">
        <f t="shared" si="0"/>
        <v>0.43684903333333325</v>
      </c>
      <c r="I18">
        <f t="shared" si="1"/>
        <v>0.43339666666666665</v>
      </c>
      <c r="K18" s="138">
        <v>0.27976269999999998</v>
      </c>
      <c r="L18" s="138">
        <v>0.28451880000000002</v>
      </c>
      <c r="N18" s="138">
        <v>0.32244060000000002</v>
      </c>
      <c r="O18" s="138">
        <v>0.34634949999999998</v>
      </c>
      <c r="P18">
        <f t="shared" si="2"/>
        <v>0.34571202222222219</v>
      </c>
      <c r="Q18">
        <f t="shared" si="3"/>
        <v>0.79137641574779483</v>
      </c>
      <c r="R18">
        <f t="shared" si="4"/>
        <v>1.1417148304758262</v>
      </c>
    </row>
    <row r="19" spans="2:18" ht="17" x14ac:dyDescent="0.2">
      <c r="B19" s="138">
        <v>2.4547089999999998E-3</v>
      </c>
      <c r="C19" s="138">
        <v>0.35318880000000002</v>
      </c>
      <c r="D19" s="138">
        <v>0.35892380000000002</v>
      </c>
      <c r="E19" s="138">
        <v>5.4239569999999997</v>
      </c>
      <c r="F19" s="138">
        <v>0.40267809999999998</v>
      </c>
      <c r="G19" s="138">
        <v>0.42970150000000001</v>
      </c>
      <c r="H19">
        <f t="shared" si="0"/>
        <v>0.43257367777777778</v>
      </c>
      <c r="I19">
        <f t="shared" si="1"/>
        <v>0.42902561111111115</v>
      </c>
      <c r="K19" s="138">
        <v>0.2761132</v>
      </c>
      <c r="L19" s="138">
        <v>0.28111789999999998</v>
      </c>
      <c r="N19" s="138">
        <v>0.32063390000000003</v>
      </c>
      <c r="O19" s="138">
        <v>0.34531529999999999</v>
      </c>
      <c r="P19">
        <f t="shared" si="2"/>
        <v>0.3430517555555555</v>
      </c>
      <c r="Q19">
        <f t="shared" si="3"/>
        <v>0.79304815151463848</v>
      </c>
      <c r="R19">
        <f t="shared" si="4"/>
        <v>1.1441266353763282</v>
      </c>
    </row>
    <row r="20" spans="2:18" ht="17" x14ac:dyDescent="0.2">
      <c r="B20" s="138">
        <v>2.6302679999999998E-3</v>
      </c>
      <c r="C20" s="138">
        <v>0.34816849999999999</v>
      </c>
      <c r="D20" s="138">
        <v>0.35419109999999998</v>
      </c>
      <c r="E20" s="138">
        <v>5.3758739999999996</v>
      </c>
      <c r="F20" s="138">
        <v>0.3997329</v>
      </c>
      <c r="G20" s="138">
        <v>0.42763099999999998</v>
      </c>
      <c r="H20">
        <f t="shared" si="0"/>
        <v>0.42856911111111107</v>
      </c>
      <c r="I20">
        <f t="shared" si="1"/>
        <v>0.42492319444444449</v>
      </c>
      <c r="K20" s="138">
        <v>0.27263130000000002</v>
      </c>
      <c r="L20" s="138">
        <v>0.27789839999999999</v>
      </c>
      <c r="N20" s="138">
        <v>0.31907439999999998</v>
      </c>
      <c r="O20" s="138">
        <v>0.34455259999999999</v>
      </c>
      <c r="P20">
        <f t="shared" si="2"/>
        <v>0.34063426666666663</v>
      </c>
      <c r="Q20">
        <f t="shared" si="3"/>
        <v>0.79481758679139525</v>
      </c>
      <c r="R20">
        <f t="shared" si="4"/>
        <v>1.1466793908752793</v>
      </c>
    </row>
    <row r="21" spans="2:18" ht="17" x14ac:dyDescent="0.2">
      <c r="B21" s="138">
        <v>2.8183829999999998E-3</v>
      </c>
      <c r="C21" s="138">
        <v>0.34298659999999997</v>
      </c>
      <c r="D21" s="138">
        <v>0.34931139999999999</v>
      </c>
      <c r="E21" s="138">
        <v>5.3246180000000001</v>
      </c>
      <c r="F21" s="138">
        <v>0.3967077</v>
      </c>
      <c r="G21" s="138">
        <v>0.42550500000000002</v>
      </c>
      <c r="H21">
        <f t="shared" si="0"/>
        <v>0.42444283333333332</v>
      </c>
      <c r="I21">
        <f t="shared" si="1"/>
        <v>0.42069741666666671</v>
      </c>
      <c r="K21" s="138">
        <v>0.26904810000000001</v>
      </c>
      <c r="L21" s="138">
        <v>0.27459210000000001</v>
      </c>
      <c r="N21" s="138">
        <v>0.31749329999999998</v>
      </c>
      <c r="O21" s="138">
        <v>0.3437907</v>
      </c>
      <c r="P21">
        <f t="shared" si="2"/>
        <v>0.33816006666666665</v>
      </c>
      <c r="Q21">
        <f t="shared" si="3"/>
        <v>0.79671522313370036</v>
      </c>
      <c r="R21">
        <f t="shared" si="4"/>
        <v>1.1494171014157335</v>
      </c>
    </row>
    <row r="22" spans="2:18" ht="17" x14ac:dyDescent="0.2">
      <c r="B22" s="138">
        <v>3.0199519999999998E-3</v>
      </c>
      <c r="C22" s="138">
        <v>0.3379701</v>
      </c>
      <c r="D22" s="138">
        <v>0.34461269999999999</v>
      </c>
      <c r="E22" s="138">
        <v>5.2743469999999997</v>
      </c>
      <c r="F22" s="138">
        <v>0.39393679999999998</v>
      </c>
      <c r="G22" s="138">
        <v>0.42366239999999999</v>
      </c>
      <c r="H22">
        <f t="shared" si="0"/>
        <v>0.42056438888888881</v>
      </c>
      <c r="I22">
        <f t="shared" si="1"/>
        <v>0.41671722222222218</v>
      </c>
      <c r="K22" s="138">
        <v>0.26561499999999999</v>
      </c>
      <c r="L22" s="138">
        <v>0.27145150000000001</v>
      </c>
      <c r="N22" s="138">
        <v>0.3161487</v>
      </c>
      <c r="O22" s="138">
        <v>0.34329209999999999</v>
      </c>
      <c r="P22">
        <f t="shared" si="2"/>
        <v>0.33591428888888886</v>
      </c>
      <c r="Q22">
        <f t="shared" si="3"/>
        <v>0.79872261599789396</v>
      </c>
      <c r="R22">
        <f t="shared" si="4"/>
        <v>1.1523131571460214</v>
      </c>
    </row>
    <row r="23" spans="2:18" ht="17" x14ac:dyDescent="0.2">
      <c r="B23" s="138">
        <v>3.2359369999999999E-3</v>
      </c>
      <c r="C23" s="138">
        <v>0.33321000000000001</v>
      </c>
      <c r="D23" s="138">
        <v>0.34018690000000001</v>
      </c>
      <c r="E23" s="138">
        <v>5.22621</v>
      </c>
      <c r="F23" s="138">
        <v>0.39151550000000002</v>
      </c>
      <c r="G23" s="138">
        <v>0.42220049999999998</v>
      </c>
      <c r="H23">
        <f t="shared" si="0"/>
        <v>0.41703826666666666</v>
      </c>
      <c r="I23">
        <f t="shared" si="1"/>
        <v>0.41308691666666669</v>
      </c>
      <c r="K23" s="138">
        <v>0.26240140000000001</v>
      </c>
      <c r="L23" s="138">
        <v>0.26854689999999998</v>
      </c>
      <c r="N23" s="138">
        <v>0.31511440000000002</v>
      </c>
      <c r="O23" s="138">
        <v>0.34313169999999998</v>
      </c>
      <c r="P23">
        <f t="shared" si="2"/>
        <v>0.33397707777777774</v>
      </c>
      <c r="Q23">
        <f t="shared" si="3"/>
        <v>0.80083077374940592</v>
      </c>
      <c r="R23">
        <f t="shared" si="4"/>
        <v>1.1553545858795393</v>
      </c>
    </row>
    <row r="24" spans="2:18" ht="17" x14ac:dyDescent="0.2">
      <c r="B24" s="138">
        <v>3.4673690000000001E-3</v>
      </c>
      <c r="C24" s="138">
        <v>0.32847860000000001</v>
      </c>
      <c r="D24" s="138">
        <v>0.33580700000000002</v>
      </c>
      <c r="E24" s="138">
        <v>5.1773150000000001</v>
      </c>
      <c r="F24" s="138">
        <v>0.38921719999999999</v>
      </c>
      <c r="G24" s="138">
        <v>0.42089159999999998</v>
      </c>
      <c r="H24">
        <f t="shared" si="0"/>
        <v>0.4136116666666666</v>
      </c>
      <c r="I24">
        <f t="shared" si="1"/>
        <v>0.40955400000000003</v>
      </c>
      <c r="K24" s="138">
        <v>0.2592314</v>
      </c>
      <c r="L24" s="138">
        <v>0.26570280000000002</v>
      </c>
      <c r="N24" s="138">
        <v>0.314216</v>
      </c>
      <c r="O24" s="138">
        <v>0.34313369999999999</v>
      </c>
      <c r="P24">
        <f t="shared" si="2"/>
        <v>0.33215324444444438</v>
      </c>
      <c r="Q24">
        <f t="shared" si="3"/>
        <v>0.8030557917316431</v>
      </c>
      <c r="R24">
        <f t="shared" si="4"/>
        <v>1.1585646082884018</v>
      </c>
    </row>
    <row r="25" spans="2:18" ht="17" x14ac:dyDescent="0.2">
      <c r="B25" s="138">
        <v>3.7153519999999999E-3</v>
      </c>
      <c r="C25" s="138">
        <v>0.32364890000000002</v>
      </c>
      <c r="D25" s="138">
        <v>0.33134710000000001</v>
      </c>
      <c r="E25" s="138">
        <v>5.126366</v>
      </c>
      <c r="F25" s="138">
        <v>0.38691999999999999</v>
      </c>
      <c r="G25" s="138">
        <v>0.4196164</v>
      </c>
      <c r="H25">
        <f t="shared" si="0"/>
        <v>0.41014758888888891</v>
      </c>
      <c r="I25">
        <f t="shared" si="1"/>
        <v>0.40598122222222222</v>
      </c>
      <c r="K25" s="138">
        <v>0.25600420000000002</v>
      </c>
      <c r="L25" s="138">
        <v>0.26281939999999998</v>
      </c>
      <c r="N25" s="138">
        <v>0.31335809999999997</v>
      </c>
      <c r="O25" s="138">
        <v>0.34320329999999999</v>
      </c>
      <c r="P25">
        <f t="shared" si="2"/>
        <v>0.3303341666666666</v>
      </c>
      <c r="Q25">
        <f t="shared" si="3"/>
        <v>0.80540316611773577</v>
      </c>
      <c r="R25">
        <f t="shared" si="4"/>
        <v>1.1619511536743274</v>
      </c>
    </row>
    <row r="26" spans="2:18" ht="17" x14ac:dyDescent="0.2">
      <c r="B26" s="138">
        <v>3.9810720000000004E-3</v>
      </c>
      <c r="C26" s="138">
        <v>0.3191117</v>
      </c>
      <c r="D26" s="138">
        <v>0.32719890000000001</v>
      </c>
      <c r="E26" s="138">
        <v>5.0781219999999996</v>
      </c>
      <c r="F26" s="138">
        <v>0.38502160000000002</v>
      </c>
      <c r="G26" s="138">
        <v>0.4187767</v>
      </c>
      <c r="H26">
        <f t="shared" si="0"/>
        <v>0.40708601111111109</v>
      </c>
      <c r="I26">
        <f t="shared" si="1"/>
        <v>0.4028080277777778</v>
      </c>
      <c r="K26" s="138">
        <v>0.25302190000000002</v>
      </c>
      <c r="L26" s="138">
        <v>0.26020009999999999</v>
      </c>
      <c r="N26" s="138">
        <v>0.3128493</v>
      </c>
      <c r="O26" s="138">
        <v>0.34365410000000002</v>
      </c>
      <c r="P26">
        <f t="shared" si="2"/>
        <v>0.32886148888888889</v>
      </c>
      <c r="Q26">
        <f t="shared" si="3"/>
        <v>0.80784276519668619</v>
      </c>
      <c r="R26">
        <f t="shared" si="4"/>
        <v>1.1654707511672864</v>
      </c>
    </row>
    <row r="27" spans="2:18" ht="17" x14ac:dyDescent="0.2">
      <c r="B27" s="138">
        <v>4.2657950000000002E-3</v>
      </c>
      <c r="C27" s="138">
        <v>0.31472050000000001</v>
      </c>
      <c r="D27" s="138">
        <v>0.32321640000000001</v>
      </c>
      <c r="E27" s="138">
        <v>5.030513</v>
      </c>
      <c r="F27" s="138">
        <v>0.38337589999999999</v>
      </c>
      <c r="G27" s="138">
        <v>0.41822569999999998</v>
      </c>
      <c r="H27">
        <f t="shared" si="0"/>
        <v>0.40426412222222224</v>
      </c>
      <c r="I27">
        <f t="shared" si="1"/>
        <v>0.39987180555555557</v>
      </c>
      <c r="K27" s="138">
        <v>0.25017289999999998</v>
      </c>
      <c r="L27" s="138">
        <v>0.25773380000000001</v>
      </c>
      <c r="N27" s="138">
        <v>0.31257940000000001</v>
      </c>
      <c r="O27" s="138">
        <v>0.3443753</v>
      </c>
      <c r="P27">
        <f t="shared" si="2"/>
        <v>0.32761177777777772</v>
      </c>
      <c r="Q27">
        <f t="shared" si="3"/>
        <v>0.81039043479028039</v>
      </c>
      <c r="R27">
        <f t="shared" si="4"/>
        <v>1.1691462614557884</v>
      </c>
    </row>
    <row r="28" spans="2:18" ht="17" x14ac:dyDescent="0.2">
      <c r="B28" s="138">
        <v>4.5708820000000001E-3</v>
      </c>
      <c r="C28" s="138">
        <v>0.31016939999999998</v>
      </c>
      <c r="D28" s="138">
        <v>0.31909389999999999</v>
      </c>
      <c r="E28" s="138">
        <v>4.9793329999999996</v>
      </c>
      <c r="F28" s="138">
        <v>0.3816753</v>
      </c>
      <c r="G28" s="138">
        <v>0.41765259999999998</v>
      </c>
      <c r="H28">
        <f t="shared" si="0"/>
        <v>0.40133968888888882</v>
      </c>
      <c r="I28">
        <f t="shared" si="1"/>
        <v>0.3968308888888889</v>
      </c>
      <c r="K28" s="138">
        <v>0.247224</v>
      </c>
      <c r="L28" s="138">
        <v>0.25518809999999997</v>
      </c>
      <c r="N28" s="138">
        <v>0.31231500000000001</v>
      </c>
      <c r="O28" s="138">
        <v>0.34513159999999998</v>
      </c>
      <c r="P28">
        <f t="shared" si="2"/>
        <v>0.32632505555555552</v>
      </c>
      <c r="Q28">
        <f t="shared" si="3"/>
        <v>0.81308942172898047</v>
      </c>
      <c r="R28">
        <f t="shared" si="4"/>
        <v>1.1730400765276752</v>
      </c>
    </row>
    <row r="29" spans="2:18" ht="17" x14ac:dyDescent="0.2">
      <c r="B29" s="138">
        <v>4.8977880000000001E-3</v>
      </c>
      <c r="C29" s="138">
        <v>0.30577219999999999</v>
      </c>
      <c r="D29" s="138">
        <v>0.3151465</v>
      </c>
      <c r="E29" s="138">
        <v>4.9287270000000003</v>
      </c>
      <c r="F29" s="138">
        <v>0.38024340000000001</v>
      </c>
      <c r="G29" s="138">
        <v>0.41738789999999998</v>
      </c>
      <c r="H29">
        <f t="shared" si="0"/>
        <v>0.39867003333333328</v>
      </c>
      <c r="I29">
        <f t="shared" si="1"/>
        <v>0.39404166666666668</v>
      </c>
      <c r="K29" s="138">
        <v>0.24441499999999999</v>
      </c>
      <c r="L29" s="138">
        <v>0.25280419999999998</v>
      </c>
      <c r="N29" s="138">
        <v>0.3123051</v>
      </c>
      <c r="O29" s="138">
        <v>0.34617819999999999</v>
      </c>
      <c r="P29">
        <f t="shared" si="2"/>
        <v>0.32527578888888892</v>
      </c>
      <c r="Q29">
        <f t="shared" si="3"/>
        <v>0.81590227930906845</v>
      </c>
      <c r="R29">
        <f t="shared" si="4"/>
        <v>1.1770981722091949</v>
      </c>
    </row>
    <row r="30" spans="2:18" ht="17" x14ac:dyDescent="0.2">
      <c r="B30" s="138">
        <v>5.2480749999999996E-3</v>
      </c>
      <c r="C30" s="138">
        <v>0.30157050000000002</v>
      </c>
      <c r="D30" s="138">
        <v>0.3114169</v>
      </c>
      <c r="E30" s="138">
        <v>4.8792200000000001</v>
      </c>
      <c r="F30" s="138">
        <v>0.37912639999999997</v>
      </c>
      <c r="G30" s="138">
        <v>0.41748030000000003</v>
      </c>
      <c r="H30">
        <f t="shared" si="0"/>
        <v>0.3963051666666666</v>
      </c>
      <c r="I30">
        <f t="shared" si="1"/>
        <v>0.39155391666666672</v>
      </c>
      <c r="K30" s="138">
        <v>0.24177679999999999</v>
      </c>
      <c r="L30" s="138">
        <v>0.2506139</v>
      </c>
      <c r="N30" s="138">
        <v>0.31258540000000001</v>
      </c>
      <c r="O30" s="138">
        <v>0.34755239999999998</v>
      </c>
      <c r="P30">
        <f t="shared" si="2"/>
        <v>0.32450178888888881</v>
      </c>
      <c r="Q30">
        <f t="shared" si="3"/>
        <v>0.81881796197178569</v>
      </c>
      <c r="R30">
        <f t="shared" si="4"/>
        <v>1.1813046131275031</v>
      </c>
    </row>
    <row r="31" spans="2:18" ht="17" x14ac:dyDescent="0.2">
      <c r="B31" s="138">
        <v>5.6234129999999998E-3</v>
      </c>
      <c r="C31" s="138">
        <v>0.29733470000000001</v>
      </c>
      <c r="D31" s="138">
        <v>0.30767620000000001</v>
      </c>
      <c r="E31" s="138">
        <v>4.8277799999999997</v>
      </c>
      <c r="F31" s="138">
        <v>0.37809579999999998</v>
      </c>
      <c r="G31" s="138">
        <v>0.41770059999999998</v>
      </c>
      <c r="H31">
        <f t="shared" si="0"/>
        <v>0.39399035555555556</v>
      </c>
      <c r="I31">
        <f t="shared" si="1"/>
        <v>0.38911313888888893</v>
      </c>
      <c r="K31" s="138">
        <v>0.23913209999999999</v>
      </c>
      <c r="L31" s="138">
        <v>0.24844069999999999</v>
      </c>
      <c r="N31" s="138">
        <v>0.31298009999999998</v>
      </c>
      <c r="O31" s="138">
        <v>0.34907729999999998</v>
      </c>
      <c r="P31">
        <f t="shared" si="2"/>
        <v>0.32380648888888885</v>
      </c>
      <c r="Q31">
        <f t="shared" si="3"/>
        <v>0.82186399825015444</v>
      </c>
      <c r="R31">
        <f t="shared" si="4"/>
        <v>1.1856991145606735</v>
      </c>
    </row>
    <row r="32" spans="2:18" ht="17" x14ac:dyDescent="0.2">
      <c r="B32" s="138">
        <v>6.0255960000000003E-3</v>
      </c>
      <c r="C32" s="138">
        <v>0.29306280000000001</v>
      </c>
      <c r="D32" s="138">
        <v>0.30392370000000002</v>
      </c>
      <c r="E32" s="138">
        <v>4.7746269999999997</v>
      </c>
      <c r="F32" s="138">
        <v>0.37715789999999999</v>
      </c>
      <c r="G32" s="138">
        <v>0.41805989999999998</v>
      </c>
      <c r="H32">
        <f t="shared" si="0"/>
        <v>0.39173026666666666</v>
      </c>
      <c r="I32">
        <f t="shared" si="1"/>
        <v>0.38672341666666665</v>
      </c>
      <c r="K32" s="138">
        <v>0.2364762</v>
      </c>
      <c r="L32" s="138">
        <v>0.24628149999999999</v>
      </c>
      <c r="N32" s="138">
        <v>0.31349250000000001</v>
      </c>
      <c r="O32" s="138">
        <v>0.35076020000000002</v>
      </c>
      <c r="P32">
        <f t="shared" si="2"/>
        <v>0.32319106666666664</v>
      </c>
      <c r="Q32">
        <f t="shared" si="3"/>
        <v>0.82503470925742439</v>
      </c>
      <c r="R32">
        <f t="shared" si="4"/>
        <v>1.190273483606954</v>
      </c>
    </row>
    <row r="33" spans="2:18" ht="17" x14ac:dyDescent="0.2">
      <c r="B33" s="138">
        <v>6.456542E-3</v>
      </c>
      <c r="C33" s="138">
        <v>0.28901260000000001</v>
      </c>
      <c r="D33" s="138">
        <v>0.30041770000000001</v>
      </c>
      <c r="E33" s="138">
        <v>4.7229359999999998</v>
      </c>
      <c r="F33" s="138">
        <v>0.37657620000000003</v>
      </c>
      <c r="G33" s="138">
        <v>0.41882730000000001</v>
      </c>
      <c r="H33">
        <f t="shared" si="0"/>
        <v>0.38981705555555551</v>
      </c>
      <c r="I33">
        <f t="shared" si="1"/>
        <v>0.38467605555555562</v>
      </c>
      <c r="K33" s="138">
        <v>0.23400760000000001</v>
      </c>
      <c r="L33" s="138">
        <v>0.24433540000000001</v>
      </c>
      <c r="N33" s="138">
        <v>0.31432739999999998</v>
      </c>
      <c r="O33" s="138">
        <v>0.35281109999999999</v>
      </c>
      <c r="P33">
        <f t="shared" si="2"/>
        <v>0.3228819555555556</v>
      </c>
      <c r="Q33">
        <f t="shared" si="3"/>
        <v>0.82829099177149645</v>
      </c>
      <c r="R33">
        <f t="shared" si="4"/>
        <v>1.1949713062417391</v>
      </c>
    </row>
    <row r="34" spans="2:18" ht="17" x14ac:dyDescent="0.2">
      <c r="B34" s="138">
        <v>6.9183100000000004E-3</v>
      </c>
      <c r="C34" s="138">
        <v>0.28503420000000002</v>
      </c>
      <c r="D34" s="138">
        <v>0.29700840000000001</v>
      </c>
      <c r="E34" s="138">
        <v>4.6704879999999998</v>
      </c>
      <c r="F34" s="138">
        <v>0.37619979999999997</v>
      </c>
      <c r="G34" s="138">
        <v>0.41985109999999998</v>
      </c>
      <c r="H34">
        <f t="shared" si="0"/>
        <v>0.38808326666666659</v>
      </c>
      <c r="I34">
        <f t="shared" si="1"/>
        <v>0.38280375</v>
      </c>
      <c r="K34" s="138">
        <v>0.2316116</v>
      </c>
      <c r="L34" s="138">
        <v>0.24248829999999999</v>
      </c>
      <c r="N34" s="138">
        <v>0.31537100000000001</v>
      </c>
      <c r="O34" s="138">
        <v>0.35511589999999998</v>
      </c>
      <c r="P34">
        <f t="shared" si="2"/>
        <v>0.32275214444444444</v>
      </c>
      <c r="Q34">
        <f t="shared" si="3"/>
        <v>0.83165694624412523</v>
      </c>
      <c r="R34">
        <f t="shared" si="4"/>
        <v>1.1998273520672587</v>
      </c>
    </row>
    <row r="35" spans="2:18" ht="17" x14ac:dyDescent="0.2">
      <c r="B35" s="138">
        <v>7.4131020000000004E-3</v>
      </c>
      <c r="C35" s="138">
        <v>0.28088259999999998</v>
      </c>
      <c r="D35" s="138">
        <v>0.2934504</v>
      </c>
      <c r="E35" s="138">
        <v>4.6137319999999997</v>
      </c>
      <c r="F35" s="138">
        <v>0.37578010000000001</v>
      </c>
      <c r="G35" s="138">
        <v>0.42088160000000002</v>
      </c>
      <c r="H35">
        <f t="shared" si="0"/>
        <v>0.38625414444444445</v>
      </c>
      <c r="I35">
        <f t="shared" si="1"/>
        <v>0.38083186111111111</v>
      </c>
      <c r="K35" s="138">
        <v>0.22910220000000001</v>
      </c>
      <c r="L35" s="138">
        <v>0.2405542</v>
      </c>
      <c r="N35" s="138">
        <v>0.3164361</v>
      </c>
      <c r="O35" s="138">
        <v>0.35748679999999999</v>
      </c>
      <c r="P35">
        <f t="shared" si="2"/>
        <v>0.32259403333333336</v>
      </c>
      <c r="Q35">
        <f t="shared" si="3"/>
        <v>0.83518594680019698</v>
      </c>
      <c r="R35">
        <f t="shared" si="4"/>
        <v>1.2049186236687979</v>
      </c>
    </row>
    <row r="36" spans="2:18" ht="17" x14ac:dyDescent="0.2">
      <c r="B36" s="138">
        <v>7.9432819999999994E-3</v>
      </c>
      <c r="C36" s="138">
        <v>0.27689269999999999</v>
      </c>
      <c r="D36" s="138">
        <v>0.2900798</v>
      </c>
      <c r="E36" s="138">
        <v>4.5572869999999996</v>
      </c>
      <c r="F36" s="138">
        <v>0.37566519999999998</v>
      </c>
      <c r="G36" s="138">
        <v>0.42227779999999998</v>
      </c>
      <c r="H36">
        <f t="shared" si="0"/>
        <v>0.38471411111111103</v>
      </c>
      <c r="I36">
        <f t="shared" si="1"/>
        <v>0.37914319444444444</v>
      </c>
      <c r="K36" s="138">
        <v>0.22673289999999999</v>
      </c>
      <c r="L36" s="138">
        <v>0.238788</v>
      </c>
      <c r="N36" s="138">
        <v>0.31778879999999998</v>
      </c>
      <c r="O36" s="138">
        <v>0.36019950000000001</v>
      </c>
      <c r="P36">
        <f t="shared" si="2"/>
        <v>0.32270071111111109</v>
      </c>
      <c r="Q36">
        <f t="shared" si="3"/>
        <v>0.83880653657102389</v>
      </c>
      <c r="R36">
        <f t="shared" si="4"/>
        <v>1.2101420305762631</v>
      </c>
    </row>
    <row r="37" spans="2:18" ht="17" x14ac:dyDescent="0.2">
      <c r="B37" s="138">
        <v>8.5113800000000007E-3</v>
      </c>
      <c r="C37" s="138">
        <v>0.27301209999999998</v>
      </c>
      <c r="D37" s="138">
        <v>0.2868445</v>
      </c>
      <c r="E37" s="138">
        <v>4.500381</v>
      </c>
      <c r="F37" s="138">
        <v>0.37580550000000001</v>
      </c>
      <c r="G37" s="138">
        <v>0.42399300000000001</v>
      </c>
      <c r="H37">
        <f t="shared" si="0"/>
        <v>0.38340782222222214</v>
      </c>
      <c r="I37">
        <f t="shared" si="1"/>
        <v>0.37768197222222222</v>
      </c>
      <c r="K37" s="138">
        <v>0.22446179999999999</v>
      </c>
      <c r="L37" s="138">
        <v>0.23714850000000001</v>
      </c>
      <c r="N37" s="138">
        <v>0.31939050000000002</v>
      </c>
      <c r="O37" s="138">
        <v>0.36321809999999999</v>
      </c>
      <c r="P37">
        <f t="shared" si="2"/>
        <v>0.32302873333333332</v>
      </c>
      <c r="Q37">
        <f t="shared" si="3"/>
        <v>0.84251993467704145</v>
      </c>
      <c r="R37">
        <f t="shared" si="4"/>
        <v>1.2154993316086611</v>
      </c>
    </row>
    <row r="38" spans="2:18" ht="17" x14ac:dyDescent="0.2">
      <c r="B38" s="138">
        <v>9.120108E-3</v>
      </c>
      <c r="C38" s="138">
        <v>0.26901049999999999</v>
      </c>
      <c r="D38" s="138">
        <v>0.28351419999999999</v>
      </c>
      <c r="E38" s="138">
        <v>4.4399009999999999</v>
      </c>
      <c r="F38" s="138">
        <v>0.37597130000000001</v>
      </c>
      <c r="G38" s="138">
        <v>0.42579830000000002</v>
      </c>
      <c r="H38">
        <f t="shared" si="0"/>
        <v>0.38208007777777775</v>
      </c>
      <c r="I38">
        <f t="shared" si="1"/>
        <v>0.37619286111111111</v>
      </c>
      <c r="K38" s="138">
        <v>0.22211</v>
      </c>
      <c r="L38" s="138">
        <v>0.235457</v>
      </c>
      <c r="N38" s="138">
        <v>0.32106380000000001</v>
      </c>
      <c r="O38" s="138">
        <v>0.36636560000000001</v>
      </c>
      <c r="P38">
        <f t="shared" si="2"/>
        <v>0.32338035555555555</v>
      </c>
      <c r="Q38">
        <f t="shared" si="3"/>
        <v>0.84636801121998662</v>
      </c>
      <c r="R38">
        <f t="shared" si="4"/>
        <v>1.2210509325541292</v>
      </c>
    </row>
    <row r="39" spans="2:18" ht="17" x14ac:dyDescent="0.2">
      <c r="B39" s="138">
        <v>9.7723719999999997E-3</v>
      </c>
      <c r="C39" s="138">
        <v>0.2650632</v>
      </c>
      <c r="D39" s="138">
        <v>0.28026509999999999</v>
      </c>
      <c r="E39" s="138">
        <v>4.3783750000000001</v>
      </c>
      <c r="F39" s="138">
        <v>0.3763494</v>
      </c>
      <c r="G39" s="138">
        <v>0.42789129999999997</v>
      </c>
      <c r="H39">
        <f t="shared" si="0"/>
        <v>0.38093694444444437</v>
      </c>
      <c r="I39">
        <f t="shared" si="1"/>
        <v>0.37488027777777777</v>
      </c>
      <c r="K39" s="138">
        <v>0.2198089</v>
      </c>
      <c r="L39" s="138">
        <v>0.233846</v>
      </c>
      <c r="N39" s="138">
        <v>0.32295089999999999</v>
      </c>
      <c r="O39" s="138">
        <v>0.36979440000000002</v>
      </c>
      <c r="P39">
        <f t="shared" si="2"/>
        <v>0.32391223333333335</v>
      </c>
      <c r="Q39">
        <f t="shared" si="3"/>
        <v>0.85030406752940324</v>
      </c>
      <c r="R39">
        <f t="shared" si="4"/>
        <v>1.2267294614723843</v>
      </c>
    </row>
    <row r="40" spans="2:18" ht="17" x14ac:dyDescent="0.2">
      <c r="B40" s="138">
        <v>1.0471289999999999E-2</v>
      </c>
      <c r="C40" s="138">
        <v>0.26124350000000002</v>
      </c>
      <c r="D40" s="138">
        <v>0.27716950000000001</v>
      </c>
      <c r="E40" s="138">
        <v>4.3165810000000002</v>
      </c>
      <c r="F40" s="138">
        <v>0.37701370000000001</v>
      </c>
      <c r="G40" s="138">
        <v>0.43035190000000001</v>
      </c>
      <c r="H40">
        <f t="shared" si="0"/>
        <v>0.38006275555555552</v>
      </c>
      <c r="I40">
        <f t="shared" si="1"/>
        <v>0.37382738888888889</v>
      </c>
      <c r="K40" s="138">
        <v>0.2176138</v>
      </c>
      <c r="L40" s="138">
        <v>0.2323703</v>
      </c>
      <c r="N40" s="138">
        <v>0.32511020000000002</v>
      </c>
      <c r="O40" s="138">
        <v>0.37356820000000002</v>
      </c>
      <c r="P40">
        <f t="shared" si="2"/>
        <v>0.32468983333333329</v>
      </c>
      <c r="Q40">
        <f t="shared" si="3"/>
        <v>0.85430584446170987</v>
      </c>
      <c r="R40">
        <f t="shared" si="4"/>
        <v>1.232502805207367</v>
      </c>
    </row>
    <row r="41" spans="2:18" ht="17" x14ac:dyDescent="0.2">
      <c r="B41" s="138">
        <v>1.122018E-2</v>
      </c>
      <c r="C41" s="138">
        <v>0.25735580000000002</v>
      </c>
      <c r="D41" s="138">
        <v>0.27403070000000002</v>
      </c>
      <c r="E41" s="138">
        <v>4.2515700000000001</v>
      </c>
      <c r="F41" s="138">
        <v>0.37776280000000001</v>
      </c>
      <c r="G41" s="138">
        <v>0.43297839999999999</v>
      </c>
      <c r="H41">
        <f t="shared" si="0"/>
        <v>0.37923669999999998</v>
      </c>
      <c r="I41">
        <f t="shared" si="1"/>
        <v>0.37281324999999998</v>
      </c>
      <c r="K41" s="138">
        <v>0.21537480000000001</v>
      </c>
      <c r="L41" s="138">
        <v>0.2308789</v>
      </c>
      <c r="N41" s="138">
        <v>0.32738820000000002</v>
      </c>
      <c r="O41" s="138">
        <v>0.3775347</v>
      </c>
      <c r="P41">
        <f t="shared" si="2"/>
        <v>0.32554501111111112</v>
      </c>
      <c r="Q41">
        <f t="shared" si="3"/>
        <v>0.85842169576707927</v>
      </c>
      <c r="R41">
        <f t="shared" si="4"/>
        <v>1.2384407234746597</v>
      </c>
    </row>
    <row r="42" spans="2:18" ht="17" x14ac:dyDescent="0.2">
      <c r="B42" s="138">
        <v>1.2022639999999999E-2</v>
      </c>
      <c r="C42" s="138">
        <v>0.25338270000000002</v>
      </c>
      <c r="D42" s="138">
        <v>0.2708296</v>
      </c>
      <c r="E42" s="138">
        <v>4.1830109999999996</v>
      </c>
      <c r="F42" s="138">
        <v>0.37857990000000002</v>
      </c>
      <c r="G42" s="138">
        <v>0.43576179999999998</v>
      </c>
      <c r="H42">
        <f t="shared" si="0"/>
        <v>0.37844305555555557</v>
      </c>
      <c r="I42">
        <f t="shared" si="1"/>
        <v>0.3718205555555556</v>
      </c>
      <c r="K42" s="138">
        <v>0.2130773</v>
      </c>
      <c r="L42" s="138">
        <v>0.22935630000000001</v>
      </c>
      <c r="N42" s="138">
        <v>0.3297735</v>
      </c>
      <c r="O42" s="138">
        <v>0.38169019999999998</v>
      </c>
      <c r="P42">
        <f t="shared" si="2"/>
        <v>0.3264666444444444</v>
      </c>
      <c r="Q42">
        <f t="shared" si="3"/>
        <v>0.86265724698050106</v>
      </c>
      <c r="R42">
        <f t="shared" si="4"/>
        <v>1.2445513322056947</v>
      </c>
    </row>
    <row r="43" spans="2:18" ht="17" x14ac:dyDescent="0.2">
      <c r="B43" s="138">
        <v>1.28825E-2</v>
      </c>
      <c r="C43" s="138">
        <v>0.24952669999999999</v>
      </c>
      <c r="D43" s="138">
        <v>0.26776870000000003</v>
      </c>
      <c r="E43" s="138">
        <v>4.1138300000000001</v>
      </c>
      <c r="F43" s="138">
        <v>0.37967830000000002</v>
      </c>
      <c r="G43" s="138">
        <v>0.43892880000000001</v>
      </c>
      <c r="H43">
        <f t="shared" si="0"/>
        <v>0.37791877777777777</v>
      </c>
      <c r="I43">
        <f t="shared" si="1"/>
        <v>0.37108402777777783</v>
      </c>
      <c r="K43" s="138">
        <v>0.21087220000000001</v>
      </c>
      <c r="L43" s="138">
        <v>0.2279533</v>
      </c>
      <c r="N43" s="138">
        <v>0.33242719999999998</v>
      </c>
      <c r="O43" s="138">
        <v>0.3862082</v>
      </c>
      <c r="P43">
        <f t="shared" si="2"/>
        <v>0.32763356666666671</v>
      </c>
      <c r="Q43">
        <f t="shared" si="3"/>
        <v>0.86694175027026688</v>
      </c>
      <c r="R43">
        <f t="shared" si="4"/>
        <v>1.2507325638545121</v>
      </c>
    </row>
    <row r="44" spans="2:18" ht="17" x14ac:dyDescent="0.2">
      <c r="B44" s="138">
        <v>1.380384E-2</v>
      </c>
      <c r="C44" s="138">
        <v>0.24565580000000001</v>
      </c>
      <c r="D44" s="138">
        <v>0.26471420000000001</v>
      </c>
      <c r="E44" s="138">
        <v>4.0421129999999996</v>
      </c>
      <c r="F44" s="138">
        <v>0.38092340000000002</v>
      </c>
      <c r="G44" s="138">
        <v>0.4423491</v>
      </c>
      <c r="H44">
        <f t="shared" si="0"/>
        <v>0.37751746666666663</v>
      </c>
      <c r="I44">
        <f t="shared" si="1"/>
        <v>0.37045625000000004</v>
      </c>
      <c r="K44" s="138">
        <v>0.20865600000000001</v>
      </c>
      <c r="L44" s="138">
        <v>0.22656490000000001</v>
      </c>
      <c r="N44" s="138">
        <v>0.33524470000000001</v>
      </c>
      <c r="O44" s="138">
        <v>0.39098850000000002</v>
      </c>
      <c r="P44">
        <f t="shared" si="2"/>
        <v>0.32893195555555554</v>
      </c>
      <c r="Q44">
        <f t="shared" si="3"/>
        <v>0.8713026140482919</v>
      </c>
      <c r="R44">
        <f t="shared" si="4"/>
        <v>1.2570239604010611</v>
      </c>
    </row>
    <row r="45" spans="2:18" ht="17" x14ac:dyDescent="0.2">
      <c r="B45" s="138">
        <v>1.479108E-2</v>
      </c>
      <c r="C45" s="138">
        <v>0.24164040000000001</v>
      </c>
      <c r="D45" s="138">
        <v>0.2615343</v>
      </c>
      <c r="E45" s="138">
        <v>3.966237</v>
      </c>
      <c r="F45" s="138">
        <v>0.38218920000000001</v>
      </c>
      <c r="G45" s="138">
        <v>0.44590649999999998</v>
      </c>
      <c r="H45">
        <f t="shared" si="0"/>
        <v>0.37710123333333329</v>
      </c>
      <c r="I45">
        <f t="shared" si="1"/>
        <v>0.36979733333333331</v>
      </c>
      <c r="K45" s="138">
        <v>0.2063255</v>
      </c>
      <c r="L45" s="138">
        <v>0.22508629999999999</v>
      </c>
      <c r="N45" s="138">
        <v>0.3381266</v>
      </c>
      <c r="O45" s="138">
        <v>0.39594079999999998</v>
      </c>
      <c r="P45">
        <f t="shared" si="2"/>
        <v>0.33025312222222214</v>
      </c>
      <c r="Q45">
        <f t="shared" si="3"/>
        <v>0.87576781253934421</v>
      </c>
      <c r="R45">
        <f t="shared" si="4"/>
        <v>1.2634658801206873</v>
      </c>
    </row>
    <row r="46" spans="2:18" ht="17" x14ac:dyDescent="0.2">
      <c r="B46" s="138">
        <v>1.5848930000000001E-2</v>
      </c>
      <c r="C46" s="138">
        <v>0.2377319</v>
      </c>
      <c r="D46" s="138">
        <v>0.25847900000000001</v>
      </c>
      <c r="E46" s="138">
        <v>3.8897360000000001</v>
      </c>
      <c r="F46" s="138">
        <v>0.3837334</v>
      </c>
      <c r="G46" s="138">
        <v>0.44987490000000002</v>
      </c>
      <c r="H46">
        <f t="shared" si="0"/>
        <v>0.3769599555555555</v>
      </c>
      <c r="I46">
        <f t="shared" si="1"/>
        <v>0.36939422222222223</v>
      </c>
      <c r="K46" s="138">
        <v>0.2040701</v>
      </c>
      <c r="L46" s="138">
        <v>0.2237053</v>
      </c>
      <c r="N46" s="138">
        <v>0.34126990000000001</v>
      </c>
      <c r="O46" s="138">
        <v>0.40127849999999998</v>
      </c>
      <c r="P46">
        <f t="shared" si="2"/>
        <v>0.33181884444444443</v>
      </c>
      <c r="Q46">
        <f t="shared" si="3"/>
        <v>0.88024958501339201</v>
      </c>
      <c r="R46">
        <f t="shared" si="4"/>
        <v>1.2699317110433888</v>
      </c>
    </row>
    <row r="47" spans="2:18" ht="17" x14ac:dyDescent="0.2">
      <c r="B47" s="138">
        <v>1.6982440000000001E-2</v>
      </c>
      <c r="C47" s="138">
        <v>0.23381389999999999</v>
      </c>
      <c r="D47" s="138">
        <v>0.2554285</v>
      </c>
      <c r="E47" s="138">
        <v>3.8108240000000002</v>
      </c>
      <c r="F47" s="138">
        <v>0.38543060000000001</v>
      </c>
      <c r="G47" s="138">
        <v>0.45413350000000002</v>
      </c>
      <c r="H47">
        <f t="shared" si="0"/>
        <v>0.37696096666666667</v>
      </c>
      <c r="I47">
        <f t="shared" si="1"/>
        <v>0.36911291666666668</v>
      </c>
      <c r="K47" s="138">
        <v>0.2017987</v>
      </c>
      <c r="L47" s="138">
        <v>0.22232779999999999</v>
      </c>
      <c r="N47" s="138">
        <v>0.344578</v>
      </c>
      <c r="O47" s="138">
        <v>0.40691090000000002</v>
      </c>
      <c r="P47">
        <f t="shared" si="2"/>
        <v>0.33352713333333339</v>
      </c>
      <c r="Q47">
        <f t="shared" si="3"/>
        <v>0.88477896340991635</v>
      </c>
      <c r="R47">
        <f t="shared" si="4"/>
        <v>1.2764662227943639</v>
      </c>
    </row>
    <row r="48" spans="2:18" ht="17" x14ac:dyDescent="0.2">
      <c r="B48" s="138">
        <v>1.819701E-2</v>
      </c>
      <c r="C48" s="138">
        <v>0.2297179</v>
      </c>
      <c r="D48" s="138">
        <v>0.25220969999999998</v>
      </c>
      <c r="E48" s="138">
        <v>3.72702</v>
      </c>
      <c r="F48" s="138">
        <v>0.38709929999999998</v>
      </c>
      <c r="G48" s="138">
        <v>0.45850560000000001</v>
      </c>
      <c r="H48">
        <f t="shared" si="0"/>
        <v>0.37691144444444441</v>
      </c>
      <c r="I48">
        <f t="shared" si="1"/>
        <v>0.36875902777777775</v>
      </c>
      <c r="K48" s="138">
        <v>0.19938120000000001</v>
      </c>
      <c r="L48" s="138">
        <v>0.2208195</v>
      </c>
      <c r="N48" s="138">
        <v>0.34791179999999999</v>
      </c>
      <c r="O48" s="138">
        <v>0.41270669999999998</v>
      </c>
      <c r="P48">
        <f t="shared" si="2"/>
        <v>0.33523143333333333</v>
      </c>
      <c r="Q48">
        <f t="shared" si="3"/>
        <v>0.8894169659068164</v>
      </c>
      <c r="R48">
        <f t="shared" si="4"/>
        <v>1.2831574459962722</v>
      </c>
    </row>
    <row r="49" spans="2:18" ht="17" x14ac:dyDescent="0.2">
      <c r="B49" s="138">
        <v>1.9498450000000001E-2</v>
      </c>
      <c r="C49" s="138">
        <v>0.22567590000000001</v>
      </c>
      <c r="D49" s="138">
        <v>0.24905250000000001</v>
      </c>
      <c r="E49" s="138">
        <v>3.641899</v>
      </c>
      <c r="F49" s="138">
        <v>0.38898359999999998</v>
      </c>
      <c r="G49" s="138">
        <v>0.46325870000000002</v>
      </c>
      <c r="H49">
        <f t="shared" si="0"/>
        <v>0.37708605555555552</v>
      </c>
      <c r="I49">
        <f t="shared" si="1"/>
        <v>0.36860297222222227</v>
      </c>
      <c r="K49" s="138">
        <v>0.1969899</v>
      </c>
      <c r="L49" s="138">
        <v>0.2193502</v>
      </c>
      <c r="N49" s="138">
        <v>0.35145520000000002</v>
      </c>
      <c r="O49" s="138">
        <v>0.41887210000000002</v>
      </c>
      <c r="P49">
        <f t="shared" si="2"/>
        <v>0.33713926666666666</v>
      </c>
      <c r="Q49">
        <f t="shared" si="3"/>
        <v>0.89406452903691747</v>
      </c>
      <c r="R49">
        <f t="shared" si="4"/>
        <v>1.2898624622762875</v>
      </c>
    </row>
    <row r="50" spans="2:18" ht="17" x14ac:dyDescent="0.2">
      <c r="B50" s="138">
        <v>2.0892959999999999E-2</v>
      </c>
      <c r="C50" s="138">
        <v>0.22161139999999999</v>
      </c>
      <c r="D50" s="138">
        <v>0.24587700000000001</v>
      </c>
      <c r="E50" s="138">
        <v>3.5543870000000002</v>
      </c>
      <c r="F50" s="138">
        <v>0.39100220000000002</v>
      </c>
      <c r="G50" s="138">
        <v>0.46832119999999999</v>
      </c>
      <c r="H50">
        <f t="shared" si="0"/>
        <v>0.37740106666666662</v>
      </c>
      <c r="I50">
        <f t="shared" si="1"/>
        <v>0.36855883333333339</v>
      </c>
      <c r="K50" s="138">
        <v>0.19456219999999999</v>
      </c>
      <c r="L50" s="138">
        <v>0.21785399999999999</v>
      </c>
      <c r="N50" s="138">
        <v>0.35514210000000002</v>
      </c>
      <c r="O50" s="138">
        <v>0.42535139999999999</v>
      </c>
      <c r="P50">
        <f t="shared" si="2"/>
        <v>0.33918338888888883</v>
      </c>
      <c r="Q50">
        <f t="shared" si="3"/>
        <v>0.89873457932875178</v>
      </c>
      <c r="R50">
        <f t="shared" si="4"/>
        <v>1.296599920673019</v>
      </c>
    </row>
    <row r="51" spans="2:18" ht="17" x14ac:dyDescent="0.2">
      <c r="B51" s="138">
        <v>2.2387210000000001E-2</v>
      </c>
      <c r="C51" s="138">
        <v>0.2173863</v>
      </c>
      <c r="D51" s="138">
        <v>0.2425408</v>
      </c>
      <c r="E51" s="138">
        <v>3.4626749999999999</v>
      </c>
      <c r="F51" s="138">
        <v>0.39301350000000002</v>
      </c>
      <c r="G51" s="138">
        <v>0.47356490000000001</v>
      </c>
      <c r="H51">
        <f t="shared" si="0"/>
        <v>0.37770656666666663</v>
      </c>
      <c r="I51">
        <f t="shared" si="1"/>
        <v>0.36847375000000004</v>
      </c>
      <c r="K51" s="138">
        <v>0.19198789999999999</v>
      </c>
      <c r="L51" s="138">
        <v>0.21621609999999999</v>
      </c>
      <c r="N51" s="138">
        <v>0.3588595</v>
      </c>
      <c r="O51" s="138">
        <v>0.43204559999999997</v>
      </c>
      <c r="P51">
        <f t="shared" si="2"/>
        <v>0.34124551111111107</v>
      </c>
      <c r="Q51">
        <f t="shared" si="3"/>
        <v>0.90346724475210627</v>
      </c>
      <c r="R51">
        <f t="shared" si="4"/>
        <v>1.3034277136094792</v>
      </c>
    </row>
    <row r="52" spans="2:18" ht="17" x14ac:dyDescent="0.2">
      <c r="B52" s="138">
        <v>2.3988329999999999E-2</v>
      </c>
      <c r="C52" s="138">
        <v>0.21319479999999999</v>
      </c>
      <c r="D52" s="138">
        <v>0.23923410000000001</v>
      </c>
      <c r="E52" s="138">
        <v>3.369866</v>
      </c>
      <c r="F52" s="138">
        <v>0.39521610000000001</v>
      </c>
      <c r="G52" s="138">
        <v>0.47921170000000002</v>
      </c>
      <c r="H52">
        <f t="shared" si="0"/>
        <v>0.37823068888888889</v>
      </c>
      <c r="I52">
        <f t="shared" si="1"/>
        <v>0.36857130555555562</v>
      </c>
      <c r="K52" s="138">
        <v>0.1894112</v>
      </c>
      <c r="L52" s="138">
        <v>0.21457619999999999</v>
      </c>
      <c r="N52" s="138">
        <v>0.36275689999999999</v>
      </c>
      <c r="O52" s="138">
        <v>0.43912879999999999</v>
      </c>
      <c r="P52">
        <f t="shared" si="2"/>
        <v>0.34349923333333332</v>
      </c>
      <c r="Q52">
        <f t="shared" si="3"/>
        <v>0.90817388282906242</v>
      </c>
      <c r="R52">
        <f t="shared" si="4"/>
        <v>1.3102179570223629</v>
      </c>
    </row>
    <row r="53" spans="2:18" ht="17" x14ac:dyDescent="0.2">
      <c r="B53" s="138">
        <v>2.5703960000000001E-2</v>
      </c>
      <c r="C53" s="138">
        <v>0.20895459999999999</v>
      </c>
      <c r="D53" s="138">
        <v>0.23587079999999999</v>
      </c>
      <c r="E53" s="138">
        <v>3.274788</v>
      </c>
      <c r="F53" s="138">
        <v>0.39751389999999998</v>
      </c>
      <c r="G53" s="138">
        <v>0.4851724</v>
      </c>
      <c r="H53">
        <f t="shared" si="0"/>
        <v>0.37887696666666659</v>
      </c>
      <c r="I53">
        <f t="shared" si="1"/>
        <v>0.36875324999999998</v>
      </c>
      <c r="K53" s="138">
        <v>0.18676570000000001</v>
      </c>
      <c r="L53" s="138">
        <v>0.21286430000000001</v>
      </c>
      <c r="N53" s="138">
        <v>0.36675809999999998</v>
      </c>
      <c r="O53" s="138">
        <v>0.4465343</v>
      </c>
      <c r="P53">
        <f t="shared" si="2"/>
        <v>0.34586915555555553</v>
      </c>
      <c r="Q53">
        <f t="shared" si="3"/>
        <v>0.91287986862460524</v>
      </c>
      <c r="R53">
        <f t="shared" si="4"/>
        <v>1.3170072593920865</v>
      </c>
    </row>
    <row r="54" spans="2:18" ht="17" x14ac:dyDescent="0.2">
      <c r="B54" s="138">
        <v>2.7542290000000001E-2</v>
      </c>
      <c r="C54" s="138">
        <v>0.20452799999999999</v>
      </c>
      <c r="D54" s="138">
        <v>0.2323074</v>
      </c>
      <c r="E54" s="138">
        <v>3.1755789999999999</v>
      </c>
      <c r="F54" s="138">
        <v>0.39974929999999997</v>
      </c>
      <c r="G54" s="138">
        <v>0.49129679999999998</v>
      </c>
      <c r="H54">
        <f t="shared" si="0"/>
        <v>0.37948398888888885</v>
      </c>
      <c r="I54">
        <f t="shared" si="1"/>
        <v>0.36885597222222222</v>
      </c>
      <c r="K54" s="138">
        <v>0.18394440000000001</v>
      </c>
      <c r="L54" s="138">
        <v>0.21096699999999999</v>
      </c>
      <c r="N54" s="138">
        <v>0.37074099999999999</v>
      </c>
      <c r="O54" s="138">
        <v>0.4541519</v>
      </c>
      <c r="P54">
        <f t="shared" si="2"/>
        <v>0.34823257777777772</v>
      </c>
      <c r="Q54">
        <f t="shared" si="3"/>
        <v>0.91764761616790791</v>
      </c>
      <c r="R54">
        <f t="shared" si="4"/>
        <v>1.3238856651290198</v>
      </c>
    </row>
    <row r="55" spans="2:18" ht="17" x14ac:dyDescent="0.2">
      <c r="B55" s="138">
        <v>2.9512090000000001E-2</v>
      </c>
      <c r="C55" s="138">
        <v>0.20009850000000001</v>
      </c>
      <c r="D55" s="138">
        <v>0.22872390000000001</v>
      </c>
      <c r="E55" s="138">
        <v>3.0753979999999999</v>
      </c>
      <c r="F55" s="138">
        <v>0.40211439999999998</v>
      </c>
      <c r="G55" s="138">
        <v>0.497805</v>
      </c>
      <c r="H55">
        <f t="shared" si="0"/>
        <v>0.38027247777777773</v>
      </c>
      <c r="I55">
        <f t="shared" si="1"/>
        <v>0.36909494444444446</v>
      </c>
      <c r="K55" s="138">
        <v>0.1810812</v>
      </c>
      <c r="L55" s="138">
        <v>0.20901410000000001</v>
      </c>
      <c r="N55" s="138">
        <v>0.3748474</v>
      </c>
      <c r="O55" s="138">
        <v>0.46215250000000002</v>
      </c>
      <c r="P55">
        <f t="shared" si="2"/>
        <v>0.35075514444444444</v>
      </c>
      <c r="Q55">
        <f t="shared" si="3"/>
        <v>0.9223784652893483</v>
      </c>
      <c r="R55">
        <f t="shared" si="4"/>
        <v>1.3307108376957157</v>
      </c>
    </row>
    <row r="56" spans="2:18" ht="17" x14ac:dyDescent="0.2">
      <c r="B56" s="138">
        <v>3.1622780000000003E-2</v>
      </c>
      <c r="C56" s="138">
        <v>0.19557099999999999</v>
      </c>
      <c r="D56" s="138">
        <v>0.22502430000000001</v>
      </c>
      <c r="E56" s="138">
        <v>2.9730059999999998</v>
      </c>
      <c r="F56" s="138">
        <v>0.40450380000000002</v>
      </c>
      <c r="G56" s="138">
        <v>0.50459949999999998</v>
      </c>
      <c r="H56">
        <f t="shared" si="0"/>
        <v>0.38113445555555558</v>
      </c>
      <c r="I56">
        <f t="shared" si="1"/>
        <v>0.36936072222222227</v>
      </c>
      <c r="K56" s="138">
        <v>0.17809749999999999</v>
      </c>
      <c r="L56" s="138">
        <v>0.20692559999999999</v>
      </c>
      <c r="N56" s="138">
        <v>0.37899060000000001</v>
      </c>
      <c r="O56" s="138">
        <v>0.4704605</v>
      </c>
      <c r="P56">
        <f t="shared" si="2"/>
        <v>0.35334979999999994</v>
      </c>
      <c r="Q56">
        <f t="shared" si="3"/>
        <v>0.92710012135991293</v>
      </c>
      <c r="R56">
        <f t="shared" si="4"/>
        <v>1.3375227474935025</v>
      </c>
    </row>
    <row r="57" spans="2:18" ht="17" x14ac:dyDescent="0.2">
      <c r="B57" s="138">
        <v>3.3884419999999998E-2</v>
      </c>
      <c r="C57" s="138">
        <v>0.19089500000000001</v>
      </c>
      <c r="D57" s="138">
        <v>0.2211553</v>
      </c>
      <c r="E57" s="138">
        <v>2.8681260000000002</v>
      </c>
      <c r="F57" s="138">
        <v>0.40686460000000002</v>
      </c>
      <c r="G57" s="138">
        <v>0.51164580000000004</v>
      </c>
      <c r="H57">
        <f t="shared" si="0"/>
        <v>0.38202034444444444</v>
      </c>
      <c r="I57">
        <f t="shared" si="1"/>
        <v>0.36960019444444447</v>
      </c>
      <c r="K57" s="138">
        <v>0.1749491</v>
      </c>
      <c r="L57" s="138">
        <v>0.20465330000000001</v>
      </c>
      <c r="N57" s="138">
        <v>0.3831234</v>
      </c>
      <c r="O57" s="138">
        <v>0.479051</v>
      </c>
      <c r="P57">
        <f t="shared" si="2"/>
        <v>0.35597523333333331</v>
      </c>
      <c r="Q57">
        <f t="shared" si="3"/>
        <v>0.93182271182706933</v>
      </c>
      <c r="R57">
        <f t="shared" si="4"/>
        <v>1.3443360053406186</v>
      </c>
    </row>
    <row r="58" spans="2:18" ht="17" x14ac:dyDescent="0.2">
      <c r="B58" s="138">
        <v>3.6307810000000003E-2</v>
      </c>
      <c r="C58" s="138">
        <v>0.18618950000000001</v>
      </c>
      <c r="D58" s="138">
        <v>0.21723410000000001</v>
      </c>
      <c r="E58" s="138">
        <v>2.762988</v>
      </c>
      <c r="F58" s="138">
        <v>0.40930939999999999</v>
      </c>
      <c r="G58" s="138">
        <v>0.5190747</v>
      </c>
      <c r="H58">
        <f t="shared" si="0"/>
        <v>0.38306669999999998</v>
      </c>
      <c r="I58">
        <f t="shared" si="1"/>
        <v>0.36994658333333341</v>
      </c>
      <c r="K58" s="138">
        <v>0.1717217</v>
      </c>
      <c r="L58" s="138">
        <v>0.20228090000000001</v>
      </c>
      <c r="N58" s="138">
        <v>0.38732899999999998</v>
      </c>
      <c r="O58" s="138">
        <v>0.48802820000000002</v>
      </c>
      <c r="P58">
        <f t="shared" si="2"/>
        <v>0.35873438888888887</v>
      </c>
      <c r="Q58">
        <f t="shared" si="3"/>
        <v>0.9364802236500559</v>
      </c>
      <c r="R58">
        <f t="shared" si="4"/>
        <v>1.3510553745505229</v>
      </c>
    </row>
    <row r="59" spans="2:18" ht="17" x14ac:dyDescent="0.2">
      <c r="B59" s="138">
        <v>3.8904510000000003E-2</v>
      </c>
      <c r="C59" s="138">
        <v>0.18131040000000001</v>
      </c>
      <c r="D59" s="138">
        <v>0.21311820000000001</v>
      </c>
      <c r="E59" s="138">
        <v>2.6556470000000001</v>
      </c>
      <c r="F59" s="138">
        <v>0.41166999999999998</v>
      </c>
      <c r="G59" s="138">
        <v>0.52671429999999997</v>
      </c>
      <c r="H59">
        <f t="shared" si="0"/>
        <v>0.3840985555555555</v>
      </c>
      <c r="I59">
        <f t="shared" si="1"/>
        <v>0.37022580555555556</v>
      </c>
      <c r="K59" s="138">
        <v>0.16829959999999999</v>
      </c>
      <c r="L59" s="138">
        <v>0.19969429999999999</v>
      </c>
      <c r="N59" s="138">
        <v>0.39147480000000001</v>
      </c>
      <c r="O59" s="138">
        <v>0.49726009999999998</v>
      </c>
      <c r="P59">
        <f t="shared" si="2"/>
        <v>0.36148976666666666</v>
      </c>
      <c r="Q59">
        <f t="shared" si="3"/>
        <v>0.94113805282035556</v>
      </c>
      <c r="R59">
        <f t="shared" si="4"/>
        <v>1.3577752015958222</v>
      </c>
    </row>
    <row r="60" spans="2:18" ht="17" x14ac:dyDescent="0.2">
      <c r="B60" s="138">
        <v>4.1686939999999999E-2</v>
      </c>
      <c r="C60" s="138">
        <v>0.17630470000000001</v>
      </c>
      <c r="D60" s="138">
        <v>0.2088544</v>
      </c>
      <c r="E60" s="138">
        <v>2.5474950000000001</v>
      </c>
      <c r="F60" s="138">
        <v>0.41398620000000003</v>
      </c>
      <c r="G60" s="138">
        <v>0.53462089999999995</v>
      </c>
      <c r="H60">
        <f t="shared" si="0"/>
        <v>0.3851714444444444</v>
      </c>
      <c r="I60">
        <f t="shared" si="1"/>
        <v>0.37049061111111109</v>
      </c>
      <c r="K60" s="138">
        <v>0.1647141</v>
      </c>
      <c r="L60" s="138">
        <v>0.19692399999999999</v>
      </c>
      <c r="N60" s="138">
        <v>0.395588</v>
      </c>
      <c r="O60" s="138">
        <v>0.5067952</v>
      </c>
      <c r="P60">
        <f t="shared" si="2"/>
        <v>0.36428324444444438</v>
      </c>
      <c r="Q60">
        <f t="shared" si="3"/>
        <v>0.94576908464715415</v>
      </c>
      <c r="R60">
        <f t="shared" si="4"/>
        <v>1.3644563682465436</v>
      </c>
    </row>
    <row r="61" spans="2:18" ht="17" x14ac:dyDescent="0.2">
      <c r="B61" s="138">
        <v>4.4668359999999997E-2</v>
      </c>
      <c r="C61" s="138">
        <v>0.17119300000000001</v>
      </c>
      <c r="D61" s="138">
        <v>0.20446719999999999</v>
      </c>
      <c r="E61" s="138">
        <v>2.4392640000000001</v>
      </c>
      <c r="F61" s="138">
        <v>0.41627360000000002</v>
      </c>
      <c r="G61" s="138">
        <v>0.54282019999999997</v>
      </c>
      <c r="H61">
        <f t="shared" si="0"/>
        <v>0.3863104</v>
      </c>
      <c r="I61">
        <f t="shared" si="1"/>
        <v>0.37076500000000001</v>
      </c>
      <c r="K61" s="138">
        <v>0.16097249999999999</v>
      </c>
      <c r="L61" s="138">
        <v>0.19398199999999999</v>
      </c>
      <c r="N61" s="138">
        <v>0.3996731</v>
      </c>
      <c r="O61" s="138">
        <v>0.51665090000000002</v>
      </c>
      <c r="P61">
        <f t="shared" si="2"/>
        <v>0.36712763333333331</v>
      </c>
      <c r="Q61">
        <f t="shared" si="3"/>
        <v>0.95034364421287476</v>
      </c>
      <c r="R61">
        <f t="shared" si="4"/>
        <v>1.3710560626462598</v>
      </c>
    </row>
    <row r="62" spans="2:18" ht="17" x14ac:dyDescent="0.2">
      <c r="B62" s="138">
        <v>4.7863009999999998E-2</v>
      </c>
      <c r="C62" s="138">
        <v>0.16587260000000001</v>
      </c>
      <c r="D62" s="138">
        <v>0.1998635</v>
      </c>
      <c r="E62" s="138">
        <v>2.3298000000000001</v>
      </c>
      <c r="F62" s="138">
        <v>0.41842119999999999</v>
      </c>
      <c r="G62" s="138">
        <v>0.55119940000000001</v>
      </c>
      <c r="H62">
        <f t="shared" si="0"/>
        <v>0.38739696666666668</v>
      </c>
      <c r="I62">
        <f t="shared" si="1"/>
        <v>0.37093241666666665</v>
      </c>
      <c r="K62" s="138">
        <v>0.1569883</v>
      </c>
      <c r="L62" s="138">
        <v>0.19079209999999999</v>
      </c>
      <c r="N62" s="138">
        <v>0.40363779999999999</v>
      </c>
      <c r="O62" s="138">
        <v>0.52673650000000005</v>
      </c>
      <c r="P62">
        <f t="shared" si="2"/>
        <v>0.36992545555555556</v>
      </c>
      <c r="Q62">
        <f t="shared" si="3"/>
        <v>0.95490023770334687</v>
      </c>
      <c r="R62">
        <f t="shared" si="4"/>
        <v>1.3776298374783109</v>
      </c>
    </row>
    <row r="63" spans="2:18" ht="17" x14ac:dyDescent="0.2">
      <c r="B63" s="138">
        <v>5.1286140000000001E-2</v>
      </c>
      <c r="C63" s="138">
        <v>0.1604479</v>
      </c>
      <c r="D63" s="138">
        <v>0.19515060000000001</v>
      </c>
      <c r="E63" s="138">
        <v>2.2214939999999999</v>
      </c>
      <c r="F63" s="138">
        <v>0.42052580000000001</v>
      </c>
      <c r="G63" s="138">
        <v>0.55986899999999995</v>
      </c>
      <c r="H63">
        <f t="shared" si="0"/>
        <v>0.3885493333333333</v>
      </c>
      <c r="I63">
        <f t="shared" si="1"/>
        <v>0.37110925</v>
      </c>
      <c r="K63" s="138">
        <v>0.15283479999999999</v>
      </c>
      <c r="L63" s="138">
        <v>0.18743180000000001</v>
      </c>
      <c r="N63" s="138">
        <v>0.40755219999999998</v>
      </c>
      <c r="O63" s="138">
        <v>0.53714070000000003</v>
      </c>
      <c r="P63">
        <f t="shared" si="2"/>
        <v>0.3727651111111111</v>
      </c>
      <c r="Q63">
        <f t="shared" si="3"/>
        <v>0.95937652990725619</v>
      </c>
      <c r="R63">
        <f t="shared" si="4"/>
        <v>1.3840877620424608</v>
      </c>
    </row>
    <row r="64" spans="2:18" ht="17" x14ac:dyDescent="0.2">
      <c r="B64" s="138">
        <v>5.4954089999999997E-2</v>
      </c>
      <c r="C64" s="138">
        <v>0.15481149999999999</v>
      </c>
      <c r="D64" s="138">
        <v>0.19022990000000001</v>
      </c>
      <c r="E64" s="138">
        <v>2.1130040000000001</v>
      </c>
      <c r="F64" s="138">
        <v>0.42244700000000002</v>
      </c>
      <c r="G64" s="138">
        <v>0.56866870000000003</v>
      </c>
      <c r="H64">
        <f t="shared" si="0"/>
        <v>0.38962196666666671</v>
      </c>
      <c r="I64">
        <f t="shared" si="1"/>
        <v>0.37115475000000003</v>
      </c>
      <c r="K64" s="138">
        <v>0.14842089999999999</v>
      </c>
      <c r="L64" s="138">
        <v>0.1838224</v>
      </c>
      <c r="N64" s="138">
        <v>0.41130410000000001</v>
      </c>
      <c r="O64" s="138">
        <v>0.54773640000000001</v>
      </c>
      <c r="P64">
        <f t="shared" si="2"/>
        <v>0.37552841111111107</v>
      </c>
      <c r="Q64">
        <f t="shared" si="3"/>
        <v>0.96382761558304775</v>
      </c>
      <c r="R64">
        <f t="shared" si="4"/>
        <v>1.3905093212734971</v>
      </c>
    </row>
    <row r="65" spans="2:18" ht="17" x14ac:dyDescent="0.2">
      <c r="B65" s="138">
        <v>5.8884369999999998E-2</v>
      </c>
      <c r="C65" s="138">
        <v>0.14899109999999999</v>
      </c>
      <c r="D65" s="138">
        <v>0.18513930000000001</v>
      </c>
      <c r="E65" s="138">
        <v>2.0055519999999998</v>
      </c>
      <c r="F65" s="138">
        <v>0.42419869999999998</v>
      </c>
      <c r="G65" s="138">
        <v>0.57760880000000003</v>
      </c>
      <c r="H65">
        <f t="shared" si="0"/>
        <v>0.39063751111111111</v>
      </c>
      <c r="I65">
        <f t="shared" si="1"/>
        <v>0.37109386111111115</v>
      </c>
      <c r="K65" s="138">
        <v>0.14376079999999999</v>
      </c>
      <c r="L65" s="138">
        <v>0.1799914</v>
      </c>
      <c r="N65" s="138">
        <v>0.41490120000000003</v>
      </c>
      <c r="O65" s="138">
        <v>0.55853330000000001</v>
      </c>
      <c r="P65">
        <f t="shared" si="2"/>
        <v>0.37822988888888887</v>
      </c>
      <c r="Q65">
        <f t="shared" si="3"/>
        <v>0.96823750441443635</v>
      </c>
      <c r="R65">
        <f t="shared" si="4"/>
        <v>1.3968714460214131</v>
      </c>
    </row>
    <row r="66" spans="2:18" ht="17" x14ac:dyDescent="0.2">
      <c r="B66" s="138">
        <v>6.3095730000000003E-2</v>
      </c>
      <c r="C66" s="138">
        <v>0.14298939999999999</v>
      </c>
      <c r="D66" s="138">
        <v>0.17988319999999999</v>
      </c>
      <c r="E66" s="138">
        <v>1.8994949999999999</v>
      </c>
      <c r="F66" s="138">
        <v>0.42575659999999999</v>
      </c>
      <c r="G66" s="138">
        <v>0.58666720000000006</v>
      </c>
      <c r="H66">
        <f t="shared" si="0"/>
        <v>0.39158513333333328</v>
      </c>
      <c r="I66">
        <f t="shared" si="1"/>
        <v>0.37091566666666664</v>
      </c>
      <c r="K66" s="138">
        <v>0.13884750000000001</v>
      </c>
      <c r="L66" s="138">
        <v>0.1759376</v>
      </c>
      <c r="N66" s="138">
        <v>0.41831570000000001</v>
      </c>
      <c r="O66" s="138">
        <v>0.56950639999999997</v>
      </c>
      <c r="P66">
        <f t="shared" si="2"/>
        <v>0.38085209999999997</v>
      </c>
      <c r="Q66">
        <f t="shared" si="3"/>
        <v>0.97259080486031391</v>
      </c>
      <c r="R66">
        <f t="shared" si="4"/>
        <v>1.4031519309861804</v>
      </c>
    </row>
    <row r="67" spans="2:18" ht="17" x14ac:dyDescent="0.2">
      <c r="B67" s="138">
        <v>6.7608299999999996E-2</v>
      </c>
      <c r="C67" s="138">
        <v>0.136765</v>
      </c>
      <c r="D67" s="138">
        <v>0.17443359999999999</v>
      </c>
      <c r="E67" s="138">
        <v>1.794567</v>
      </c>
      <c r="F67" s="138">
        <v>0.42705969999999999</v>
      </c>
      <c r="G67" s="138">
        <v>0.59577170000000002</v>
      </c>
      <c r="H67">
        <f t="shared" si="0"/>
        <v>0.39240445555555553</v>
      </c>
      <c r="I67">
        <f t="shared" si="1"/>
        <v>0.37056388888888891</v>
      </c>
      <c r="K67" s="138">
        <v>0.1336396</v>
      </c>
      <c r="L67" s="138">
        <v>0.17163929999999999</v>
      </c>
      <c r="N67" s="138">
        <v>0.42149579999999998</v>
      </c>
      <c r="O67" s="138">
        <v>0.58059150000000004</v>
      </c>
      <c r="P67">
        <f t="shared" si="2"/>
        <v>0.38333994444444447</v>
      </c>
      <c r="Q67">
        <f t="shared" si="3"/>
        <v>0.97690008106998227</v>
      </c>
      <c r="R67">
        <f t="shared" si="4"/>
        <v>1.4093689024036897</v>
      </c>
    </row>
    <row r="68" spans="2:18" ht="17" x14ac:dyDescent="0.2">
      <c r="B68" s="138">
        <v>7.2443599999999997E-2</v>
      </c>
      <c r="C68" s="138">
        <v>0.1303772</v>
      </c>
      <c r="D68" s="138">
        <v>0.16883989999999999</v>
      </c>
      <c r="E68" s="138">
        <v>1.6922189999999999</v>
      </c>
      <c r="F68" s="138">
        <v>0.42811389999999999</v>
      </c>
      <c r="G68" s="138">
        <v>0.60492630000000003</v>
      </c>
      <c r="H68">
        <f t="shared" si="0"/>
        <v>0.39312975555555552</v>
      </c>
      <c r="I68">
        <f t="shared" si="1"/>
        <v>0.37007147222222225</v>
      </c>
      <c r="K68" s="138">
        <v>0.1281776</v>
      </c>
      <c r="L68" s="138">
        <v>0.16713159999999999</v>
      </c>
      <c r="N68" s="138">
        <v>0.42443710000000001</v>
      </c>
      <c r="O68" s="138">
        <v>0.59178969999999997</v>
      </c>
      <c r="P68">
        <f t="shared" si="2"/>
        <v>0.38571532222222221</v>
      </c>
      <c r="Q68">
        <f t="shared" si="3"/>
        <v>0.98113998437270278</v>
      </c>
      <c r="R68">
        <f t="shared" si="4"/>
        <v>1.4154857898723734</v>
      </c>
    </row>
    <row r="69" spans="2:18" ht="17" x14ac:dyDescent="0.2">
      <c r="B69" s="138">
        <v>7.762471E-2</v>
      </c>
      <c r="C69" s="138">
        <v>0.1237544</v>
      </c>
      <c r="D69" s="138">
        <v>0.16302349999999999</v>
      </c>
      <c r="E69" s="138">
        <v>1.591442</v>
      </c>
      <c r="F69" s="138">
        <v>0.42877150000000003</v>
      </c>
      <c r="G69" s="138">
        <v>0.61395449999999996</v>
      </c>
      <c r="H69">
        <f t="shared" si="0"/>
        <v>0.39362562222222219</v>
      </c>
      <c r="I69">
        <f t="shared" si="1"/>
        <v>0.36930663888888893</v>
      </c>
      <c r="K69" s="138">
        <v>0.1223998</v>
      </c>
      <c r="L69" s="138">
        <v>0.16235440000000001</v>
      </c>
      <c r="N69" s="138">
        <v>0.42701820000000001</v>
      </c>
      <c r="O69" s="138">
        <v>0.60295569999999998</v>
      </c>
      <c r="P69">
        <f t="shared" si="2"/>
        <v>0.38786606666666668</v>
      </c>
      <c r="Q69">
        <f t="shared" si="3"/>
        <v>0.98536793534160749</v>
      </c>
      <c r="R69">
        <f t="shared" si="4"/>
        <v>1.421585433768334</v>
      </c>
    </row>
    <row r="70" spans="2:18" ht="17" x14ac:dyDescent="0.2">
      <c r="B70" s="138">
        <v>8.3176379999999994E-2</v>
      </c>
      <c r="C70" s="138">
        <v>0.11697979999999999</v>
      </c>
      <c r="D70" s="138">
        <v>0.1570492</v>
      </c>
      <c r="E70" s="138">
        <v>1.493833</v>
      </c>
      <c r="F70" s="138">
        <v>0.4290563</v>
      </c>
      <c r="G70" s="138">
        <v>0.62289240000000001</v>
      </c>
      <c r="H70">
        <f t="shared" si="0"/>
        <v>0.39395492222222217</v>
      </c>
      <c r="I70">
        <f t="shared" si="1"/>
        <v>0.36832713888888891</v>
      </c>
      <c r="K70" s="138">
        <v>0.1163686</v>
      </c>
      <c r="L70" s="138">
        <v>0.15735469999999999</v>
      </c>
      <c r="N70" s="138">
        <v>0.42924509999999999</v>
      </c>
      <c r="O70" s="138">
        <v>0.61411190000000004</v>
      </c>
      <c r="P70">
        <f t="shared" si="2"/>
        <v>0.38983575555555555</v>
      </c>
      <c r="Q70">
        <f t="shared" si="3"/>
        <v>0.98954406599762423</v>
      </c>
      <c r="R70">
        <f t="shared" si="4"/>
        <v>1.4276103167558736</v>
      </c>
    </row>
    <row r="71" spans="2:18" ht="17" x14ac:dyDescent="0.2">
      <c r="B71" s="138">
        <v>8.9125090000000004E-2</v>
      </c>
      <c r="C71" s="138">
        <v>0.11002480000000001</v>
      </c>
      <c r="D71" s="138">
        <v>0.15085100000000001</v>
      </c>
      <c r="E71" s="138">
        <v>1.3984030000000001</v>
      </c>
      <c r="F71" s="138">
        <v>0.42884090000000002</v>
      </c>
      <c r="G71" s="138">
        <v>0.63162620000000003</v>
      </c>
      <c r="H71">
        <f t="shared" ref="H71:H107" si="5">(4/9)*(C71+G71)+(1/9)*(D71+F71)</f>
        <v>0.39403287777777779</v>
      </c>
      <c r="I71">
        <f t="shared" ref="I71:I107" si="6">(5/18)*($C71+$G71)+(5/18)*($D71+$F71)</f>
        <v>0.36703969444444451</v>
      </c>
      <c r="K71" s="138">
        <v>0.1100618</v>
      </c>
      <c r="L71" s="138">
        <v>0.15207799999999999</v>
      </c>
      <c r="N71" s="138">
        <v>0.43100129999999998</v>
      </c>
      <c r="O71" s="138">
        <v>0.6251544</v>
      </c>
      <c r="P71">
        <f t="shared" ref="P71:P107" si="7">(4/9)*(K71+O71)+(1/9)*(L71+N71)</f>
        <v>0.39154934444444439</v>
      </c>
      <c r="Q71">
        <f t="shared" ref="Q71:Q107" si="8">P71/H71</f>
        <v>0.99369714185440627</v>
      </c>
      <c r="R71">
        <f t="shared" ref="R71:R107" si="9">Q71/LN(D$3/L$3)</f>
        <v>1.4336019386988887</v>
      </c>
    </row>
    <row r="72" spans="2:18" ht="17" x14ac:dyDescent="0.2">
      <c r="B72" s="138">
        <v>9.5499260000000002E-2</v>
      </c>
      <c r="C72" s="138">
        <v>0.10297290000000001</v>
      </c>
      <c r="D72" s="138">
        <v>0.14447270000000001</v>
      </c>
      <c r="E72" s="138">
        <v>1.306516</v>
      </c>
      <c r="F72" s="138">
        <v>0.42810120000000002</v>
      </c>
      <c r="G72" s="138">
        <v>0.64013249999999999</v>
      </c>
      <c r="H72">
        <f t="shared" si="5"/>
        <v>0.39388838888888889</v>
      </c>
      <c r="I72">
        <f t="shared" si="6"/>
        <v>0.36546647222222228</v>
      </c>
      <c r="K72" s="138">
        <v>0.1035486</v>
      </c>
      <c r="L72" s="138">
        <v>0.14655389999999999</v>
      </c>
      <c r="N72" s="138">
        <v>0.43225019999999997</v>
      </c>
      <c r="O72" s="138">
        <v>0.63606030000000002</v>
      </c>
      <c r="P72">
        <f t="shared" si="7"/>
        <v>0.39302663333333332</v>
      </c>
      <c r="Q72">
        <f t="shared" si="8"/>
        <v>0.99781218340051492</v>
      </c>
      <c r="R72">
        <f t="shared" si="9"/>
        <v>1.4395386887305117</v>
      </c>
    </row>
    <row r="73" spans="2:18" ht="17" x14ac:dyDescent="0.2">
      <c r="B73" s="138">
        <v>0.1023293</v>
      </c>
      <c r="C73" s="138">
        <v>9.5824270000000003E-2</v>
      </c>
      <c r="D73" s="138">
        <v>0.13783909999999999</v>
      </c>
      <c r="E73" s="138">
        <v>1.21746</v>
      </c>
      <c r="F73" s="138">
        <v>0.42665989999999998</v>
      </c>
      <c r="G73" s="138">
        <v>0.64823140000000001</v>
      </c>
      <c r="H73">
        <f t="shared" si="5"/>
        <v>0.39341351999999996</v>
      </c>
      <c r="I73">
        <f t="shared" si="6"/>
        <v>0.36348740833333337</v>
      </c>
      <c r="K73" s="138">
        <v>9.6838869999999994E-2</v>
      </c>
      <c r="L73" s="138">
        <v>0.14071400000000001</v>
      </c>
      <c r="N73" s="138">
        <v>0.43282700000000002</v>
      </c>
      <c r="O73" s="138">
        <v>0.64668099999999995</v>
      </c>
      <c r="P73">
        <f t="shared" si="7"/>
        <v>0.39418005333333334</v>
      </c>
      <c r="Q73">
        <f t="shared" si="8"/>
        <v>1.0019484163465795</v>
      </c>
      <c r="R73">
        <f t="shared" si="9"/>
        <v>1.4455060114897607</v>
      </c>
    </row>
    <row r="74" spans="2:18" ht="17" x14ac:dyDescent="0.2">
      <c r="B74" s="138">
        <v>0.1096478</v>
      </c>
      <c r="C74" s="138">
        <v>8.8671600000000003E-2</v>
      </c>
      <c r="D74" s="138">
        <v>0.13097980000000001</v>
      </c>
      <c r="E74" s="138">
        <v>1.1321639999999999</v>
      </c>
      <c r="F74" s="138">
        <v>0.42446859999999997</v>
      </c>
      <c r="G74" s="138">
        <v>0.65588590000000002</v>
      </c>
      <c r="H74">
        <f t="shared" si="5"/>
        <v>0.39263093333333327</v>
      </c>
      <c r="I74">
        <f t="shared" si="6"/>
        <v>0.36111274999999998</v>
      </c>
      <c r="K74" s="138">
        <v>9.0018409999999993E-2</v>
      </c>
      <c r="L74" s="138">
        <v>0.13457340000000001</v>
      </c>
      <c r="N74" s="138">
        <v>0.43266470000000001</v>
      </c>
      <c r="O74" s="138">
        <v>0.65697609999999995</v>
      </c>
      <c r="P74">
        <f t="shared" si="7"/>
        <v>0.39502401555555555</v>
      </c>
      <c r="Q74">
        <f t="shared" si="8"/>
        <v>1.006094991553278</v>
      </c>
      <c r="R74">
        <f t="shared" si="9"/>
        <v>1.4514882549771377</v>
      </c>
    </row>
    <row r="75" spans="2:18" ht="17" x14ac:dyDescent="0.2">
      <c r="B75" s="138">
        <v>0.11748980000000001</v>
      </c>
      <c r="C75" s="138">
        <v>8.1571340000000006E-2</v>
      </c>
      <c r="D75" s="138">
        <v>0.12385309999999999</v>
      </c>
      <c r="E75" s="138">
        <v>1.050211</v>
      </c>
      <c r="F75" s="138">
        <v>0.42139019999999999</v>
      </c>
      <c r="G75" s="138">
        <v>0.66298360000000001</v>
      </c>
      <c r="H75">
        <f t="shared" si="5"/>
        <v>0.39149589555555553</v>
      </c>
      <c r="I75">
        <f t="shared" si="6"/>
        <v>0.35827728888888888</v>
      </c>
      <c r="K75" s="138">
        <v>8.3152859999999995E-2</v>
      </c>
      <c r="L75" s="138">
        <v>0.12808700000000001</v>
      </c>
      <c r="N75" s="138">
        <v>0.43161620000000001</v>
      </c>
      <c r="O75" s="138">
        <v>0.66684259999999995</v>
      </c>
      <c r="P75">
        <f t="shared" si="7"/>
        <v>0.39552055999999997</v>
      </c>
      <c r="Q75">
        <f t="shared" si="8"/>
        <v>1.010280221300234</v>
      </c>
      <c r="R75">
        <f t="shared" si="9"/>
        <v>1.4575262651780521</v>
      </c>
    </row>
    <row r="76" spans="2:18" ht="17" x14ac:dyDescent="0.2">
      <c r="B76" s="138">
        <v>0.12589249999999999</v>
      </c>
      <c r="C76" s="138">
        <v>7.4591489999999996E-2</v>
      </c>
      <c r="D76" s="138">
        <v>0.1164534</v>
      </c>
      <c r="E76" s="138">
        <v>0.97193269999999998</v>
      </c>
      <c r="F76" s="138">
        <v>0.4173056</v>
      </c>
      <c r="G76" s="138">
        <v>0.66937279999999999</v>
      </c>
      <c r="H76">
        <f t="shared" si="5"/>
        <v>0.38995735111111107</v>
      </c>
      <c r="I76">
        <f t="shared" si="6"/>
        <v>0.35492313611111109</v>
      </c>
      <c r="K76" s="138">
        <v>7.6318529999999996E-2</v>
      </c>
      <c r="L76" s="138">
        <v>0.1212387</v>
      </c>
      <c r="N76" s="138">
        <v>0.42954900000000001</v>
      </c>
      <c r="O76" s="138">
        <v>0.67614390000000002</v>
      </c>
      <c r="P76">
        <f t="shared" si="7"/>
        <v>0.39562637999999994</v>
      </c>
      <c r="Q76">
        <f t="shared" si="8"/>
        <v>1.0145375612813454</v>
      </c>
      <c r="R76">
        <f t="shared" si="9"/>
        <v>1.4636683084561799</v>
      </c>
    </row>
    <row r="77" spans="2:18" ht="17" x14ac:dyDescent="0.2">
      <c r="B77" s="138">
        <v>0.1348963</v>
      </c>
      <c r="C77" s="138">
        <v>6.7816539999999995E-2</v>
      </c>
      <c r="D77" s="138">
        <v>0.10877820000000001</v>
      </c>
      <c r="E77" s="138">
        <v>0.89753590000000005</v>
      </c>
      <c r="F77" s="138">
        <v>0.41209230000000002</v>
      </c>
      <c r="G77" s="138">
        <v>0.67489849999999996</v>
      </c>
      <c r="H77">
        <f t="shared" si="5"/>
        <v>0.38797007333333333</v>
      </c>
      <c r="I77">
        <f t="shared" si="6"/>
        <v>0.35099598333333337</v>
      </c>
      <c r="K77" s="138">
        <v>6.9611469999999995E-2</v>
      </c>
      <c r="L77" s="138">
        <v>0.11401559999999999</v>
      </c>
      <c r="N77" s="138">
        <v>0.42632330000000002</v>
      </c>
      <c r="O77" s="138">
        <v>0.68473779999999995</v>
      </c>
      <c r="P77">
        <f t="shared" si="7"/>
        <v>0.39530399777777775</v>
      </c>
      <c r="Q77">
        <f t="shared" si="8"/>
        <v>1.0189033251493687</v>
      </c>
      <c r="R77">
        <f t="shared" si="9"/>
        <v>1.4699667743382692</v>
      </c>
    </row>
    <row r="78" spans="2:18" ht="17" x14ac:dyDescent="0.2">
      <c r="B78" s="138">
        <v>0.14454400000000001</v>
      </c>
      <c r="C78" s="138">
        <v>6.1303200000000002E-2</v>
      </c>
      <c r="D78" s="138">
        <v>0.1008255</v>
      </c>
      <c r="E78" s="138">
        <v>0.82667469999999998</v>
      </c>
      <c r="F78" s="138">
        <v>0.40562219999999999</v>
      </c>
      <c r="G78" s="138">
        <v>0.67936359999999996</v>
      </c>
      <c r="H78">
        <f t="shared" si="5"/>
        <v>0.38545721111111109</v>
      </c>
      <c r="I78">
        <f t="shared" si="6"/>
        <v>0.34642069444444445</v>
      </c>
      <c r="K78" s="138">
        <v>6.3103049999999994E-2</v>
      </c>
      <c r="L78" s="138">
        <v>0.10640479999999999</v>
      </c>
      <c r="N78" s="138">
        <v>0.42178759999999998</v>
      </c>
      <c r="O78" s="138">
        <v>0.69243100000000002</v>
      </c>
      <c r="P78">
        <f t="shared" si="7"/>
        <v>0.39448095555555557</v>
      </c>
      <c r="Q78">
        <f t="shared" si="8"/>
        <v>1.0234104958587564</v>
      </c>
      <c r="R78">
        <f t="shared" si="9"/>
        <v>1.476469247169143</v>
      </c>
    </row>
    <row r="79" spans="2:18" ht="17" x14ac:dyDescent="0.2">
      <c r="B79" s="138">
        <v>0.15488170000000001</v>
      </c>
      <c r="C79" s="138">
        <v>5.5127259999999997E-2</v>
      </c>
      <c r="D79" s="138">
        <v>9.2636399999999994E-2</v>
      </c>
      <c r="E79" s="138">
        <v>0.75966920000000004</v>
      </c>
      <c r="F79" s="138">
        <v>0.39780480000000001</v>
      </c>
      <c r="G79" s="138">
        <v>0.68255529999999998</v>
      </c>
      <c r="H79">
        <f t="shared" si="5"/>
        <v>0.38235238222222218</v>
      </c>
      <c r="I79">
        <f t="shared" si="6"/>
        <v>0.3411454888888889</v>
      </c>
      <c r="K79" s="138">
        <v>5.688087E-2</v>
      </c>
      <c r="L79" s="138">
        <v>9.8436510000000005E-2</v>
      </c>
      <c r="N79" s="138">
        <v>0.41582590000000003</v>
      </c>
      <c r="O79" s="138">
        <v>0.69901009999999997</v>
      </c>
      <c r="P79">
        <f t="shared" si="7"/>
        <v>0.39309180999999993</v>
      </c>
      <c r="Q79">
        <f t="shared" si="8"/>
        <v>1.0280877752490005</v>
      </c>
      <c r="R79">
        <f t="shared" si="9"/>
        <v>1.4832171349503003</v>
      </c>
    </row>
    <row r="80" spans="2:18" ht="17" x14ac:dyDescent="0.2">
      <c r="B80" s="138">
        <v>0.16595869999999999</v>
      </c>
      <c r="C80" s="138">
        <v>4.9337529999999997E-2</v>
      </c>
      <c r="D80" s="138">
        <v>8.4250340000000007E-2</v>
      </c>
      <c r="E80" s="138">
        <v>0.69645480000000004</v>
      </c>
      <c r="F80" s="138">
        <v>0.38853680000000002</v>
      </c>
      <c r="G80" s="138">
        <v>0.68419200000000002</v>
      </c>
      <c r="H80">
        <f t="shared" si="5"/>
        <v>0.37854502888888886</v>
      </c>
      <c r="I80">
        <f t="shared" si="6"/>
        <v>0.3350879638888889</v>
      </c>
      <c r="K80" s="138">
        <v>5.1011729999999998E-2</v>
      </c>
      <c r="L80" s="138">
        <v>9.0143619999999994E-2</v>
      </c>
      <c r="N80" s="138">
        <v>0.40830949999999999</v>
      </c>
      <c r="O80" s="138">
        <v>0.7041925</v>
      </c>
      <c r="P80">
        <f t="shared" si="7"/>
        <v>0.39103000444444441</v>
      </c>
      <c r="Q80">
        <f t="shared" si="8"/>
        <v>1.032981480676689</v>
      </c>
      <c r="R80">
        <f t="shared" si="9"/>
        <v>1.4902772595023979</v>
      </c>
    </row>
    <row r="81" spans="2:18" ht="17" x14ac:dyDescent="0.2">
      <c r="B81" s="138">
        <v>0.17782790000000001</v>
      </c>
      <c r="C81" s="138">
        <v>4.3964360000000001E-2</v>
      </c>
      <c r="D81" s="138">
        <v>7.5742030000000002E-2</v>
      </c>
      <c r="E81" s="138">
        <v>0.63686549999999997</v>
      </c>
      <c r="F81" s="138">
        <v>0.37775419999999998</v>
      </c>
      <c r="G81" s="138">
        <v>0.68396780000000001</v>
      </c>
      <c r="H81">
        <f t="shared" si="5"/>
        <v>0.37391387444444446</v>
      </c>
      <c r="I81">
        <f t="shared" si="6"/>
        <v>0.32817455277777785</v>
      </c>
      <c r="K81" s="138">
        <v>4.5537439999999998E-2</v>
      </c>
      <c r="L81" s="138">
        <v>8.1595479999999998E-2</v>
      </c>
      <c r="N81" s="138">
        <v>0.39914240000000001</v>
      </c>
      <c r="O81" s="138">
        <v>0.70765109999999998</v>
      </c>
      <c r="P81">
        <f t="shared" si="7"/>
        <v>0.3881657822222222</v>
      </c>
      <c r="Q81">
        <f t="shared" si="8"/>
        <v>1.0381154826066645</v>
      </c>
      <c r="R81">
        <f t="shared" si="9"/>
        <v>1.497684058626688</v>
      </c>
    </row>
    <row r="82" spans="2:18" ht="17" x14ac:dyDescent="0.2">
      <c r="B82" s="138">
        <v>0.1905461</v>
      </c>
      <c r="C82" s="138">
        <v>3.9026669999999999E-2</v>
      </c>
      <c r="D82" s="138">
        <v>6.719485E-2</v>
      </c>
      <c r="E82" s="138">
        <v>0.58087759999999999</v>
      </c>
      <c r="F82" s="138">
        <v>0.3653941</v>
      </c>
      <c r="G82" s="138">
        <v>0.68153770000000002</v>
      </c>
      <c r="H82">
        <f t="shared" si="5"/>
        <v>0.36831627</v>
      </c>
      <c r="I82">
        <f t="shared" si="6"/>
        <v>0.32032036666666669</v>
      </c>
      <c r="K82" s="138">
        <v>4.0490709999999999E-2</v>
      </c>
      <c r="L82" s="138">
        <v>7.2879669999999994E-2</v>
      </c>
      <c r="N82" s="138">
        <v>0.38824160000000002</v>
      </c>
      <c r="O82" s="138">
        <v>0.70901219999999998</v>
      </c>
      <c r="P82">
        <f t="shared" si="7"/>
        <v>0.38434810111111112</v>
      </c>
      <c r="Q82">
        <f t="shared" si="8"/>
        <v>1.043527349772279</v>
      </c>
      <c r="R82">
        <f t="shared" si="9"/>
        <v>1.5054917325484698</v>
      </c>
    </row>
    <row r="83" spans="2:18" ht="17" x14ac:dyDescent="0.2">
      <c r="B83" s="138">
        <v>0.20417379999999999</v>
      </c>
      <c r="C83" s="138">
        <v>3.4526029999999999E-2</v>
      </c>
      <c r="D83" s="138">
        <v>5.8712939999999998E-2</v>
      </c>
      <c r="E83" s="138">
        <v>0.52838649999999998</v>
      </c>
      <c r="F83" s="138">
        <v>0.3514236</v>
      </c>
      <c r="G83" s="138">
        <v>0.67652350000000006</v>
      </c>
      <c r="H83">
        <f t="shared" si="5"/>
        <v>0.36159274000000002</v>
      </c>
      <c r="I83">
        <f t="shared" si="6"/>
        <v>0.311440575</v>
      </c>
      <c r="K83" s="138">
        <v>3.5884579999999999E-2</v>
      </c>
      <c r="L83" s="138">
        <v>6.4107860000000003E-2</v>
      </c>
      <c r="N83" s="138">
        <v>0.3755484</v>
      </c>
      <c r="O83" s="138">
        <v>0.70785509999999996</v>
      </c>
      <c r="P83">
        <f t="shared" si="7"/>
        <v>0.3794016644444444</v>
      </c>
      <c r="Q83">
        <f t="shared" si="8"/>
        <v>1.0492513329898283</v>
      </c>
      <c r="R83">
        <f t="shared" si="9"/>
        <v>1.5137496947505598</v>
      </c>
    </row>
    <row r="84" spans="2:18" ht="17" x14ac:dyDescent="0.2">
      <c r="B84" s="138">
        <v>0.2187762</v>
      </c>
      <c r="C84" s="138">
        <v>3.0457140000000001E-2</v>
      </c>
      <c r="D84" s="138">
        <v>5.0431219999999999E-2</v>
      </c>
      <c r="E84" s="138">
        <v>0.479348</v>
      </c>
      <c r="F84" s="138">
        <v>0.33586319999999997</v>
      </c>
      <c r="G84" s="138">
        <v>0.66854069999999999</v>
      </c>
      <c r="H84">
        <f t="shared" si="5"/>
        <v>0.3535873088888889</v>
      </c>
      <c r="I84">
        <f t="shared" si="6"/>
        <v>0.30147007222222222</v>
      </c>
      <c r="K84" s="138">
        <v>3.171823E-2</v>
      </c>
      <c r="L84" s="138">
        <v>5.5422230000000003E-2</v>
      </c>
      <c r="N84" s="138">
        <v>0.36104449999999999</v>
      </c>
      <c r="O84" s="138">
        <v>0.70373300000000005</v>
      </c>
      <c r="P84">
        <f t="shared" si="7"/>
        <v>0.37314129444444438</v>
      </c>
      <c r="Q84">
        <f t="shared" si="8"/>
        <v>1.0553017177483033</v>
      </c>
      <c r="R84">
        <f t="shared" si="9"/>
        <v>1.5224785548370818</v>
      </c>
    </row>
    <row r="85" spans="2:18" ht="17" x14ac:dyDescent="0.2">
      <c r="B85" s="138">
        <v>0.23442289999999999</v>
      </c>
      <c r="C85" s="138">
        <v>2.6785860000000002E-2</v>
      </c>
      <c r="D85" s="138">
        <v>4.2472099999999999E-2</v>
      </c>
      <c r="E85" s="138">
        <v>0.43357960000000001</v>
      </c>
      <c r="F85" s="138">
        <v>0.31872299999999998</v>
      </c>
      <c r="G85" s="138">
        <v>0.65717630000000005</v>
      </c>
      <c r="H85">
        <f t="shared" si="5"/>
        <v>0.34411597111111114</v>
      </c>
      <c r="I85">
        <f t="shared" si="6"/>
        <v>0.29032146111111112</v>
      </c>
      <c r="K85" s="138">
        <v>2.796326E-2</v>
      </c>
      <c r="L85" s="138">
        <v>4.6964220000000001E-2</v>
      </c>
      <c r="N85" s="138">
        <v>0.34471940000000001</v>
      </c>
      <c r="O85" s="138">
        <v>0.69615649999999996</v>
      </c>
      <c r="P85">
        <f t="shared" si="7"/>
        <v>0.3653514066666666</v>
      </c>
      <c r="Q85">
        <f t="shared" si="8"/>
        <v>1.0617101132707927</v>
      </c>
      <c r="R85">
        <f t="shared" si="9"/>
        <v>1.5317239152774322</v>
      </c>
    </row>
    <row r="86" spans="2:18" ht="17" x14ac:dyDescent="0.2">
      <c r="B86" s="138">
        <v>0.24</v>
      </c>
      <c r="C86" s="138"/>
      <c r="D86" s="138"/>
      <c r="E86" s="138"/>
      <c r="F86" s="138"/>
      <c r="G86" s="138"/>
      <c r="H86">
        <f>(($B87-$B86)*H85+($B86-$B85)*H87)/($B87-$B85)</f>
        <v>0.34042578748653507</v>
      </c>
      <c r="K86" s="138"/>
      <c r="L86" s="138"/>
      <c r="N86" s="138"/>
      <c r="O86" s="138"/>
      <c r="P86">
        <f>(($B87-$B86)*P85+($B86-$B85)*P87)/($B87-$B85)</f>
        <v>0.36218549845116982</v>
      </c>
    </row>
    <row r="87" spans="2:18" ht="17" x14ac:dyDescent="0.2">
      <c r="B87" s="138">
        <v>0.25118859999999998</v>
      </c>
      <c r="C87" s="138">
        <v>2.3484229999999998E-2</v>
      </c>
      <c r="D87" s="138">
        <v>3.4969310000000003E-2</v>
      </c>
      <c r="E87" s="138">
        <v>0.39096320000000001</v>
      </c>
      <c r="F87" s="138">
        <v>0.30006890000000003</v>
      </c>
      <c r="G87" s="138">
        <v>0.64205719999999999</v>
      </c>
      <c r="H87">
        <f t="shared" si="5"/>
        <v>0.33302265888888888</v>
      </c>
      <c r="I87">
        <f t="shared" si="6"/>
        <v>0.2779387888888889</v>
      </c>
      <c r="K87" s="138">
        <v>2.459221E-2</v>
      </c>
      <c r="L87" s="138">
        <v>3.8887650000000003E-2</v>
      </c>
      <c r="N87" s="138">
        <v>0.32661050000000003</v>
      </c>
      <c r="O87" s="138">
        <v>0.68466009999999999</v>
      </c>
      <c r="P87">
        <f t="shared" si="7"/>
        <v>0.35583415444444444</v>
      </c>
      <c r="Q87">
        <f t="shared" si="8"/>
        <v>1.0684983287073162</v>
      </c>
      <c r="R87">
        <f t="shared" si="9"/>
        <v>1.5415172400241908</v>
      </c>
    </row>
    <row r="88" spans="2:18" ht="17" x14ac:dyDescent="0.2">
      <c r="B88" s="138">
        <v>0.26915349999999999</v>
      </c>
      <c r="C88" s="138">
        <v>2.0505800000000001E-2</v>
      </c>
      <c r="D88" s="138">
        <v>2.8045649999999998E-2</v>
      </c>
      <c r="E88" s="138">
        <v>0.35137289999999999</v>
      </c>
      <c r="F88" s="138">
        <v>0.27998990000000001</v>
      </c>
      <c r="G88" s="138">
        <v>0.62282360000000003</v>
      </c>
      <c r="H88">
        <f t="shared" si="5"/>
        <v>0.32015035000000003</v>
      </c>
      <c r="I88">
        <f t="shared" si="6"/>
        <v>0.26426804166666668</v>
      </c>
      <c r="K88" s="138">
        <v>2.1559579999999998E-2</v>
      </c>
      <c r="L88" s="138">
        <v>3.1340989999999999E-2</v>
      </c>
      <c r="N88" s="138">
        <v>0.30677739999999998</v>
      </c>
      <c r="O88" s="138">
        <v>0.66877850000000005</v>
      </c>
      <c r="P88">
        <f t="shared" si="7"/>
        <v>0.34438563444444448</v>
      </c>
      <c r="Q88">
        <f t="shared" si="8"/>
        <v>1.0756996968594426</v>
      </c>
      <c r="R88">
        <f t="shared" si="9"/>
        <v>1.5519066181448791</v>
      </c>
    </row>
    <row r="89" spans="2:18" ht="17" x14ac:dyDescent="0.2">
      <c r="B89" s="138">
        <v>0.28840320000000003</v>
      </c>
      <c r="C89" s="138">
        <v>1.780615E-2</v>
      </c>
      <c r="D89" s="138">
        <v>2.1815210000000002E-2</v>
      </c>
      <c r="E89" s="138">
        <v>0.31465660000000001</v>
      </c>
      <c r="F89" s="138">
        <v>0.25861499999999998</v>
      </c>
      <c r="G89" s="138">
        <v>0.59919310000000003</v>
      </c>
      <c r="H89">
        <f t="shared" si="5"/>
        <v>0.3053808011111111</v>
      </c>
      <c r="I89">
        <f t="shared" si="6"/>
        <v>0.24928596111111112</v>
      </c>
      <c r="K89" s="138">
        <v>1.8817159999999999E-2</v>
      </c>
      <c r="L89" s="138">
        <v>2.446603E-2</v>
      </c>
      <c r="N89" s="138">
        <v>0.28532809999999997</v>
      </c>
      <c r="O89" s="138">
        <v>0.64810469999999998</v>
      </c>
      <c r="P89">
        <f t="shared" si="7"/>
        <v>0.33083128555555552</v>
      </c>
      <c r="Q89">
        <f t="shared" si="8"/>
        <v>1.083340158752103</v>
      </c>
      <c r="R89">
        <f t="shared" si="9"/>
        <v>1.5629294746275213</v>
      </c>
    </row>
    <row r="90" spans="2:18" ht="17" x14ac:dyDescent="0.2">
      <c r="B90" s="138">
        <v>0.30902950000000001</v>
      </c>
      <c r="C90" s="138">
        <v>1.5334189999999999E-2</v>
      </c>
      <c r="D90" s="138">
        <v>1.6372169999999998E-2</v>
      </c>
      <c r="E90" s="138">
        <v>0.28068579999999999</v>
      </c>
      <c r="F90" s="138">
        <v>0.23612920000000001</v>
      </c>
      <c r="G90" s="138">
        <v>0.57097180000000003</v>
      </c>
      <c r="H90">
        <f t="shared" si="5"/>
        <v>0.2886361477777778</v>
      </c>
      <c r="I90">
        <f t="shared" si="6"/>
        <v>0.23300204444444444</v>
      </c>
      <c r="K90" s="138">
        <v>1.6308590000000001E-2</v>
      </c>
      <c r="L90" s="138">
        <v>1.838644E-2</v>
      </c>
      <c r="N90" s="138">
        <v>0.26242280000000001</v>
      </c>
      <c r="O90" s="138">
        <v>0.6223052</v>
      </c>
      <c r="P90">
        <f t="shared" si="7"/>
        <v>0.31502937777777779</v>
      </c>
      <c r="Q90">
        <f t="shared" si="8"/>
        <v>1.0914411801959063</v>
      </c>
      <c r="R90">
        <f t="shared" si="9"/>
        <v>1.5746167780906315</v>
      </c>
    </row>
    <row r="91" spans="2:18" ht="17" x14ac:dyDescent="0.2">
      <c r="B91" s="138">
        <v>0.33113110000000001</v>
      </c>
      <c r="C91" s="138">
        <v>1.304453E-2</v>
      </c>
      <c r="D91" s="138">
        <v>1.1784330000000001E-2</v>
      </c>
      <c r="E91" s="138">
        <v>0.2492895</v>
      </c>
      <c r="F91" s="138">
        <v>0.21275749999999999</v>
      </c>
      <c r="G91" s="138">
        <v>0.5380817</v>
      </c>
      <c r="H91">
        <f t="shared" si="5"/>
        <v>0.26989408333333331</v>
      </c>
      <c r="I91">
        <f t="shared" si="6"/>
        <v>0.21546335000000003</v>
      </c>
      <c r="K91" s="138">
        <v>1.397968E-2</v>
      </c>
      <c r="L91" s="138">
        <v>1.320086E-2</v>
      </c>
      <c r="N91" s="138">
        <v>0.23827329999999999</v>
      </c>
      <c r="O91" s="138">
        <v>0.59117540000000002</v>
      </c>
      <c r="P91">
        <f t="shared" si="7"/>
        <v>0.29689938666666671</v>
      </c>
      <c r="Q91">
        <f t="shared" si="8"/>
        <v>1.1000588934733351</v>
      </c>
      <c r="R91">
        <f t="shared" si="9"/>
        <v>1.587049510299781</v>
      </c>
    </row>
    <row r="92" spans="2:18" ht="17" x14ac:dyDescent="0.2">
      <c r="B92" s="138">
        <v>0.3548134</v>
      </c>
      <c r="C92" s="138">
        <v>1.089391E-2</v>
      </c>
      <c r="D92" s="138">
        <v>8.0855700000000003E-3</v>
      </c>
      <c r="E92" s="138">
        <v>0.22033659999999999</v>
      </c>
      <c r="F92" s="138">
        <v>0.1887993</v>
      </c>
      <c r="G92" s="138">
        <v>0.50063369999999996</v>
      </c>
      <c r="H92">
        <f t="shared" si="5"/>
        <v>0.24922170111111108</v>
      </c>
      <c r="I92">
        <f t="shared" si="6"/>
        <v>0.19678124444444442</v>
      </c>
      <c r="K92" s="138">
        <v>1.1777269999999999E-2</v>
      </c>
      <c r="L92" s="138">
        <v>8.9733250000000007E-3</v>
      </c>
      <c r="N92" s="138">
        <v>0.21317069999999999</v>
      </c>
      <c r="O92" s="138">
        <v>0.55467180000000005</v>
      </c>
      <c r="P92">
        <f t="shared" si="7"/>
        <v>0.2764378116666667</v>
      </c>
      <c r="Q92">
        <f t="shared" si="8"/>
        <v>1.1092044169276487</v>
      </c>
      <c r="R92">
        <f t="shared" si="9"/>
        <v>1.600243711633653</v>
      </c>
    </row>
    <row r="93" spans="2:18" ht="17" x14ac:dyDescent="0.2">
      <c r="B93" s="138">
        <v>0.38018940000000001</v>
      </c>
      <c r="C93" s="138">
        <v>8.8604489999999994E-3</v>
      </c>
      <c r="D93" s="138">
        <v>5.2695169999999996E-3</v>
      </c>
      <c r="E93" s="138">
        <v>0.19367570000000001</v>
      </c>
      <c r="F93" s="138">
        <v>0.1645935</v>
      </c>
      <c r="G93" s="138">
        <v>0.45891419999999999</v>
      </c>
      <c r="H93">
        <f t="shared" si="5"/>
        <v>0.22677351255555553</v>
      </c>
      <c r="I93">
        <f t="shared" si="6"/>
        <v>0.17712157388888888</v>
      </c>
      <c r="K93" s="138">
        <v>9.6676720000000004E-3</v>
      </c>
      <c r="L93" s="138">
        <v>5.7242120000000002E-3</v>
      </c>
      <c r="N93" s="138">
        <v>0.1874603</v>
      </c>
      <c r="O93" s="138">
        <v>0.51295710000000005</v>
      </c>
      <c r="P93">
        <f t="shared" si="7"/>
        <v>0.25374262222222221</v>
      </c>
      <c r="Q93">
        <f t="shared" si="8"/>
        <v>1.1189253072933716</v>
      </c>
      <c r="R93">
        <f t="shared" si="9"/>
        <v>1.6142679919573066</v>
      </c>
    </row>
    <row r="94" spans="2:18" ht="17" x14ac:dyDescent="0.2">
      <c r="B94" s="138">
        <v>0.40738029999999997</v>
      </c>
      <c r="C94" s="138">
        <v>6.9421429999999996E-3</v>
      </c>
      <c r="D94" s="138">
        <v>3.2753790000000001E-3</v>
      </c>
      <c r="E94" s="138">
        <v>0.1691541</v>
      </c>
      <c r="F94" s="138">
        <v>0.14053560000000001</v>
      </c>
      <c r="G94" s="138">
        <v>0.4134564</v>
      </c>
      <c r="H94">
        <f t="shared" si="5"/>
        <v>0.20282279455555555</v>
      </c>
      <c r="I94">
        <f t="shared" si="6"/>
        <v>0.15672486722222223</v>
      </c>
      <c r="K94" s="138">
        <v>7.6407250000000001E-3</v>
      </c>
      <c r="L94" s="138">
        <v>3.4123650000000001E-3</v>
      </c>
      <c r="N94" s="138">
        <v>0.16155849999999999</v>
      </c>
      <c r="O94" s="138">
        <v>0.46646330000000003</v>
      </c>
      <c r="P94">
        <f t="shared" si="7"/>
        <v>0.22904299611111112</v>
      </c>
      <c r="Q94">
        <f t="shared" si="8"/>
        <v>1.1292764041290908</v>
      </c>
      <c r="R94">
        <f t="shared" si="9"/>
        <v>1.6292014680299602</v>
      </c>
    </row>
    <row r="95" spans="2:18" ht="17" x14ac:dyDescent="0.2">
      <c r="B95" s="138">
        <v>0.43651580000000001</v>
      </c>
      <c r="C95" s="138">
        <v>5.1701509999999996E-3</v>
      </c>
      <c r="D95" s="138">
        <v>1.9807169999999999E-3</v>
      </c>
      <c r="E95" s="138">
        <v>0.14659349999999999</v>
      </c>
      <c r="F95" s="138">
        <v>0.1170424</v>
      </c>
      <c r="G95" s="138">
        <v>0.36504229999999999</v>
      </c>
      <c r="H95">
        <f t="shared" si="5"/>
        <v>0.17776365788888887</v>
      </c>
      <c r="I95">
        <f t="shared" si="6"/>
        <v>0.13589876888888891</v>
      </c>
      <c r="K95" s="138">
        <v>5.7264029999999997E-3</v>
      </c>
      <c r="L95" s="138">
        <v>1.922397E-3</v>
      </c>
      <c r="N95" s="138">
        <v>0.1359206</v>
      </c>
      <c r="O95" s="138">
        <v>0.41591260000000002</v>
      </c>
      <c r="P95">
        <f t="shared" si="7"/>
        <v>0.20271100099999997</v>
      </c>
      <c r="Q95">
        <f t="shared" si="8"/>
        <v>1.1403399514129284</v>
      </c>
      <c r="R95">
        <f t="shared" si="9"/>
        <v>1.6451627928309933</v>
      </c>
    </row>
    <row r="96" spans="2:18" ht="17" x14ac:dyDescent="0.2">
      <c r="B96" s="138">
        <v>0.46773510000000001</v>
      </c>
      <c r="C96" s="138">
        <v>3.6167149999999999E-3</v>
      </c>
      <c r="D96" s="138">
        <v>1.2173780000000001E-3</v>
      </c>
      <c r="E96" s="138">
        <v>0.12586310000000001</v>
      </c>
      <c r="F96" s="138">
        <v>9.4573679999999993E-2</v>
      </c>
      <c r="G96" s="138">
        <v>0.31474999999999997</v>
      </c>
      <c r="H96">
        <f t="shared" si="5"/>
        <v>0.15213976866666662</v>
      </c>
      <c r="I96">
        <f t="shared" si="6"/>
        <v>0.11504382583333334</v>
      </c>
      <c r="K96" s="138">
        <v>4.0083489999999996E-3</v>
      </c>
      <c r="L96" s="138">
        <v>1.0725979999999999E-3</v>
      </c>
      <c r="N96" s="138">
        <v>0.11105230000000001</v>
      </c>
      <c r="O96" s="138">
        <v>0.3623786</v>
      </c>
      <c r="P96">
        <f t="shared" si="7"/>
        <v>0.175296966</v>
      </c>
      <c r="Q96">
        <f t="shared" si="8"/>
        <v>1.1522100206690209</v>
      </c>
      <c r="R96">
        <f t="shared" si="9"/>
        <v>1.6622876828817665</v>
      </c>
    </row>
    <row r="97" spans="2:18" ht="17" x14ac:dyDescent="0.2">
      <c r="B97" s="138">
        <v>0.50118720000000005</v>
      </c>
      <c r="C97" s="138">
        <v>2.3606159999999998E-3</v>
      </c>
      <c r="D97" s="138">
        <v>7.8565839999999998E-4</v>
      </c>
      <c r="E97" s="138">
        <v>0.1068158</v>
      </c>
      <c r="F97" s="138">
        <v>7.360535E-2</v>
      </c>
      <c r="G97" s="138">
        <v>0.2639011</v>
      </c>
      <c r="H97">
        <f t="shared" si="5"/>
        <v>0.12660420804444444</v>
      </c>
      <c r="I97">
        <f t="shared" si="6"/>
        <v>9.4625756777777778E-2</v>
      </c>
      <c r="K97" s="138">
        <v>2.5944599999999998E-3</v>
      </c>
      <c r="L97" s="138">
        <v>6.283657E-4</v>
      </c>
      <c r="N97" s="138">
        <v>8.748715E-2</v>
      </c>
      <c r="O97" s="138">
        <v>0.30725449999999999</v>
      </c>
      <c r="P97">
        <f t="shared" si="7"/>
        <v>0.14750126174444445</v>
      </c>
      <c r="Q97">
        <f t="shared" si="8"/>
        <v>1.1650581289735968</v>
      </c>
      <c r="R97">
        <f t="shared" si="9"/>
        <v>1.6808235850175826</v>
      </c>
    </row>
    <row r="98" spans="2:18" ht="17" x14ac:dyDescent="0.2">
      <c r="B98" s="138">
        <v>0.53703179999999995</v>
      </c>
      <c r="C98" s="138">
        <v>1.4395059999999999E-3</v>
      </c>
      <c r="D98" s="138">
        <v>5.2722749999999997E-4</v>
      </c>
      <c r="E98" s="138">
        <v>8.9315430000000001E-2</v>
      </c>
      <c r="F98" s="138">
        <v>5.4653E-2</v>
      </c>
      <c r="G98" s="138">
        <v>0.21396709999999999</v>
      </c>
      <c r="H98">
        <f t="shared" si="5"/>
        <v>0.10186740572222222</v>
      </c>
      <c r="I98">
        <f t="shared" si="6"/>
        <v>7.5163009305555556E-2</v>
      </c>
      <c r="K98" s="138">
        <v>1.55032E-3</v>
      </c>
      <c r="L98" s="138">
        <v>3.9220020000000001E-4</v>
      </c>
      <c r="N98" s="138">
        <v>6.5831299999999995E-2</v>
      </c>
      <c r="O98" s="138">
        <v>0.25215789999999999</v>
      </c>
      <c r="P98">
        <f t="shared" si="7"/>
        <v>0.12011737557777777</v>
      </c>
      <c r="Q98">
        <f t="shared" si="8"/>
        <v>1.1791541634555864</v>
      </c>
      <c r="R98">
        <f t="shared" si="9"/>
        <v>1.7011598640609489</v>
      </c>
    </row>
    <row r="99" spans="2:18" ht="17" x14ac:dyDescent="0.2">
      <c r="B99" s="138">
        <v>0.5754399</v>
      </c>
      <c r="C99" s="138">
        <v>8.2171100000000003E-4</v>
      </c>
      <c r="D99" s="138">
        <v>3.5444239999999998E-4</v>
      </c>
      <c r="E99" s="138">
        <v>7.3233099999999995E-2</v>
      </c>
      <c r="F99" s="138">
        <v>3.8231380000000002E-2</v>
      </c>
      <c r="G99" s="138">
        <v>0.1664812</v>
      </c>
      <c r="H99">
        <f t="shared" si="5"/>
        <v>7.8644162933333317E-2</v>
      </c>
      <c r="I99">
        <f t="shared" si="6"/>
        <v>5.719131483333334E-2</v>
      </c>
      <c r="K99" s="138">
        <v>8.5420549999999998E-4</v>
      </c>
      <c r="L99" s="138">
        <v>2.5153449999999999E-4</v>
      </c>
      <c r="N99" s="138">
        <v>4.6731149999999999E-2</v>
      </c>
      <c r="O99" s="138">
        <v>0.19883029999999999</v>
      </c>
      <c r="P99">
        <f t="shared" si="7"/>
        <v>9.396896738888888E-2</v>
      </c>
      <c r="Q99">
        <f t="shared" si="8"/>
        <v>1.1948625795476571</v>
      </c>
      <c r="R99">
        <f t="shared" si="9"/>
        <v>1.7238223180571994</v>
      </c>
    </row>
    <row r="100" spans="2:18" ht="17" x14ac:dyDescent="0.2">
      <c r="B100" s="138">
        <v>0.6</v>
      </c>
      <c r="C100" s="138"/>
      <c r="D100" s="138"/>
      <c r="E100" s="138"/>
      <c r="F100" s="138"/>
      <c r="G100" s="138"/>
      <c r="H100">
        <f>(($B101-$B100)*H99+($B100-$B99)*H101)/($B101-$B99)</f>
        <v>6.6109638617105948E-2</v>
      </c>
      <c r="K100">
        <f t="shared" ref="K100:P100" si="10">(($B101-$B100)*K99+($B100-$B99)*K101)/($B101-$B99)</f>
        <v>6.0253660948849611E-4</v>
      </c>
      <c r="L100">
        <f t="shared" si="10"/>
        <v>1.9592580648959671E-4</v>
      </c>
      <c r="M100">
        <f t="shared" si="10"/>
        <v>0</v>
      </c>
      <c r="N100">
        <f t="shared" si="10"/>
        <v>3.7211128149488168E-2</v>
      </c>
      <c r="O100">
        <f t="shared" si="10"/>
        <v>0.16915027751311504</v>
      </c>
      <c r="P100">
        <f t="shared" si="10"/>
        <v>7.9602034494043558E-2</v>
      </c>
    </row>
    <row r="101" spans="2:18" ht="17" x14ac:dyDescent="0.2">
      <c r="B101" s="138">
        <v>0.616595</v>
      </c>
      <c r="C101" s="138">
        <v>4.3931580000000002E-4</v>
      </c>
      <c r="D101" s="138">
        <v>2.3019389999999999E-4</v>
      </c>
      <c r="E101" s="138">
        <v>5.8481079999999998E-2</v>
      </c>
      <c r="F101" s="138">
        <v>2.4775080000000001E-2</v>
      </c>
      <c r="G101" s="138">
        <v>0.12299980000000001</v>
      </c>
      <c r="H101">
        <f t="shared" si="5"/>
        <v>5.7640193011111111E-2</v>
      </c>
      <c r="I101">
        <f t="shared" si="6"/>
        <v>4.1234552694444447E-2</v>
      </c>
      <c r="K101" s="138">
        <v>4.3248659999999998E-4</v>
      </c>
      <c r="L101" s="138">
        <v>1.583516E-4</v>
      </c>
      <c r="N101" s="138">
        <v>3.0778549999999998E-2</v>
      </c>
      <c r="O101" s="138">
        <v>0.1490958</v>
      </c>
      <c r="P101">
        <f t="shared" si="7"/>
        <v>6.9894449777777784E-2</v>
      </c>
      <c r="Q101">
        <f t="shared" si="8"/>
        <v>1.2125991626069756</v>
      </c>
      <c r="R101">
        <f t="shared" si="9"/>
        <v>1.7494107984791936</v>
      </c>
    </row>
    <row r="102" spans="2:18" ht="17" x14ac:dyDescent="0.2">
      <c r="B102" s="138">
        <v>0.66069339999999999</v>
      </c>
      <c r="C102" s="138">
        <v>2.1834E-4</v>
      </c>
      <c r="D102" s="138">
        <v>1.3901540000000001E-4</v>
      </c>
      <c r="E102" s="138">
        <v>4.498957E-2</v>
      </c>
      <c r="F102" s="138">
        <v>1.450853E-2</v>
      </c>
      <c r="G102" s="138">
        <v>8.4946279999999999E-2</v>
      </c>
      <c r="H102">
        <f t="shared" si="5"/>
        <v>3.9478447266666661E-2</v>
      </c>
      <c r="I102">
        <f t="shared" si="6"/>
        <v>2.7725601500000002E-2</v>
      </c>
      <c r="K102" s="138">
        <v>1.9915199999999999E-4</v>
      </c>
      <c r="L102" s="139">
        <v>9.327979E-5</v>
      </c>
      <c r="N102" s="138">
        <v>1.835881E-2</v>
      </c>
      <c r="O102" s="138">
        <v>0.10472670000000001</v>
      </c>
      <c r="P102">
        <f t="shared" si="7"/>
        <v>4.8683944198888891E-2</v>
      </c>
      <c r="Q102">
        <f t="shared" si="8"/>
        <v>1.2331777860978546</v>
      </c>
      <c r="R102">
        <f t="shared" si="9"/>
        <v>1.7790994765378056</v>
      </c>
    </row>
    <row r="103" spans="2:18" ht="17" x14ac:dyDescent="0.2">
      <c r="B103" s="138">
        <v>0.70794579999999996</v>
      </c>
      <c r="C103" s="139">
        <v>9.8546079999999993E-5</v>
      </c>
      <c r="D103" s="139">
        <v>7.4393619999999993E-5</v>
      </c>
      <c r="E103" s="138">
        <v>3.2779460000000003E-2</v>
      </c>
      <c r="F103" s="138">
        <v>7.3939929999999997E-3</v>
      </c>
      <c r="G103" s="138">
        <v>5.3553330000000003E-2</v>
      </c>
      <c r="H103">
        <f t="shared" si="5"/>
        <v>2.4675098993333332E-2</v>
      </c>
      <c r="I103">
        <f t="shared" si="6"/>
        <v>1.6977850750000002E-2</v>
      </c>
      <c r="K103" s="139">
        <v>8.1365570000000004E-5</v>
      </c>
      <c r="L103" s="139">
        <v>4.8456140000000001E-5</v>
      </c>
      <c r="N103" s="138">
        <v>9.5572139999999996E-3</v>
      </c>
      <c r="O103" s="138">
        <v>6.7341789999999999E-2</v>
      </c>
      <c r="P103">
        <f t="shared" si="7"/>
        <v>3.1033143602222223E-2</v>
      </c>
      <c r="Q103">
        <f t="shared" si="8"/>
        <v>1.2576704802929746</v>
      </c>
      <c r="R103">
        <f t="shared" si="9"/>
        <v>1.8144349649911153</v>
      </c>
    </row>
    <row r="104" spans="2:18" ht="17" x14ac:dyDescent="0.2">
      <c r="B104" s="138">
        <v>0.75857759999999996</v>
      </c>
      <c r="C104" s="139">
        <v>3.7486310000000001E-5</v>
      </c>
      <c r="D104" s="139">
        <v>3.2117969999999998E-5</v>
      </c>
      <c r="E104" s="138">
        <v>2.1962860000000001E-2</v>
      </c>
      <c r="F104" s="138">
        <v>3.078468E-3</v>
      </c>
      <c r="G104" s="138">
        <v>2.962617E-2</v>
      </c>
      <c r="H104">
        <f t="shared" si="5"/>
        <v>1.3529467912222223E-2</v>
      </c>
      <c r="I104">
        <f t="shared" si="6"/>
        <v>9.1039561888888905E-3</v>
      </c>
      <c r="K104" s="139">
        <v>2.7099089999999999E-5</v>
      </c>
      <c r="L104" s="139">
        <v>1.960138E-5</v>
      </c>
      <c r="N104" s="138">
        <v>4.0816460000000004E-3</v>
      </c>
      <c r="O104" s="138">
        <v>3.8157370000000003E-2</v>
      </c>
      <c r="P104">
        <f t="shared" si="7"/>
        <v>1.7426569304444445E-2</v>
      </c>
      <c r="Q104">
        <f t="shared" si="8"/>
        <v>1.28804542924424</v>
      </c>
      <c r="R104">
        <f t="shared" si="9"/>
        <v>1.8582567532103613</v>
      </c>
    </row>
    <row r="105" spans="2:18" ht="17" x14ac:dyDescent="0.2">
      <c r="B105" s="138">
        <v>0.81283050000000001</v>
      </c>
      <c r="C105" s="139">
        <v>9.349691E-6</v>
      </c>
      <c r="D105" s="139">
        <v>8.6210600000000001E-6</v>
      </c>
      <c r="E105" s="138">
        <v>1.279752E-2</v>
      </c>
      <c r="F105" s="138">
        <v>9.2944649999999996E-4</v>
      </c>
      <c r="G105" s="138">
        <v>1.336291E-2</v>
      </c>
      <c r="H105">
        <f t="shared" si="5"/>
        <v>6.0474562582222228E-3</v>
      </c>
      <c r="I105">
        <f t="shared" si="6"/>
        <v>3.9750909030555562E-3</v>
      </c>
      <c r="K105" s="139">
        <v>4.8703410000000003E-6</v>
      </c>
      <c r="L105" s="139">
        <v>3.8214959999999996E-6</v>
      </c>
      <c r="N105" s="138">
        <v>1.2726E-3</v>
      </c>
      <c r="O105" s="138">
        <v>1.7746430000000001E-2</v>
      </c>
      <c r="P105">
        <f t="shared" si="7"/>
        <v>8.0312914288888891E-3</v>
      </c>
      <c r="Q105">
        <f t="shared" si="8"/>
        <v>1.3280445671631624</v>
      </c>
      <c r="R105">
        <f t="shared" si="9"/>
        <v>1.9159633111258243</v>
      </c>
    </row>
    <row r="106" spans="2:18" ht="17" x14ac:dyDescent="0.2">
      <c r="B106" s="138">
        <v>0.87096359999999995</v>
      </c>
      <c r="C106" s="139">
        <v>6.8804469999999996E-8</v>
      </c>
      <c r="D106" s="139">
        <v>3.7066049999999999E-8</v>
      </c>
      <c r="E106" s="138">
        <v>5.7121280000000003E-3</v>
      </c>
      <c r="F106" s="138">
        <v>1.5522809999999999E-4</v>
      </c>
      <c r="G106" s="138">
        <v>4.171704E-3</v>
      </c>
      <c r="H106">
        <f t="shared" si="5"/>
        <v>1.8713729315477778E-3</v>
      </c>
      <c r="I106">
        <f t="shared" si="6"/>
        <v>1.2019549918111112E-3</v>
      </c>
      <c r="K106" s="140">
        <v>0</v>
      </c>
      <c r="L106" s="140">
        <v>0</v>
      </c>
      <c r="N106" s="138">
        <v>2.2356860000000001E-4</v>
      </c>
      <c r="O106" s="138">
        <v>5.7846379999999999E-3</v>
      </c>
      <c r="P106">
        <f t="shared" si="7"/>
        <v>2.5957911777777778E-3</v>
      </c>
      <c r="Q106">
        <f t="shared" si="8"/>
        <v>1.3871052284756771</v>
      </c>
      <c r="R106">
        <f t="shared" si="9"/>
        <v>2.001169834313012</v>
      </c>
    </row>
    <row r="107" spans="2:18" ht="17" x14ac:dyDescent="0.2">
      <c r="B107" s="138">
        <v>0.93325429999999998</v>
      </c>
      <c r="C107">
        <v>0</v>
      </c>
      <c r="D107" s="140">
        <v>0</v>
      </c>
      <c r="E107" s="138">
        <v>1.3035810000000001E-3</v>
      </c>
      <c r="F107" s="139">
        <v>6.2718849999999998E-6</v>
      </c>
      <c r="G107" s="138">
        <v>5.3617479999999999E-4</v>
      </c>
      <c r="H107">
        <f t="shared" si="5"/>
        <v>2.389967872222222E-4</v>
      </c>
      <c r="I107">
        <f t="shared" si="6"/>
        <v>1.5067963472222221E-4</v>
      </c>
      <c r="K107" s="140">
        <v>0</v>
      </c>
      <c r="L107" s="140">
        <v>0</v>
      </c>
      <c r="N107" s="139">
        <v>9.6735490000000005E-6</v>
      </c>
      <c r="O107" s="138">
        <v>7.9900459999999996E-4</v>
      </c>
      <c r="P107">
        <f t="shared" si="7"/>
        <v>3.5618799433333328E-4</v>
      </c>
      <c r="Q107">
        <f t="shared" si="8"/>
        <v>1.4903463702302626</v>
      </c>
      <c r="R107">
        <f t="shared" si="9"/>
        <v>2.150115317538067</v>
      </c>
    </row>
    <row r="113" spans="2:2" x14ac:dyDescent="0.2">
      <c r="B113" t="s">
        <v>204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12" workbookViewId="0">
      <selection activeCell="J40" sqref="J40"/>
    </sheetView>
  </sheetViews>
  <sheetFormatPr baseColWidth="10" defaultRowHeight="16" x14ac:dyDescent="0.2"/>
  <cols>
    <col min="1" max="1" width="10.83203125" style="131"/>
    <col min="3" max="5" width="18.5" customWidth="1"/>
  </cols>
  <sheetData>
    <row r="1" spans="1:5" x14ac:dyDescent="0.2">
      <c r="A1" s="131" t="s">
        <v>176</v>
      </c>
    </row>
    <row r="2" spans="1:5" x14ac:dyDescent="0.2">
      <c r="A2" s="131" t="s">
        <v>179</v>
      </c>
      <c r="B2">
        <v>0.5</v>
      </c>
      <c r="C2" t="s">
        <v>39</v>
      </c>
    </row>
    <row r="3" spans="1:5" x14ac:dyDescent="0.2">
      <c r="A3" s="126" t="s">
        <v>55</v>
      </c>
      <c r="B3" s="6"/>
      <c r="C3" s="31">
        <v>3</v>
      </c>
      <c r="D3" s="32">
        <v>4</v>
      </c>
      <c r="E3">
        <v>5</v>
      </c>
    </row>
    <row r="4" spans="1:5" x14ac:dyDescent="0.2">
      <c r="A4" s="126" t="s">
        <v>6</v>
      </c>
      <c r="B4" s="6" t="s">
        <v>23</v>
      </c>
      <c r="C4" s="46">
        <f>CHOOSE(C3,Accel2023!$C10,Accel2023!$C11,Accel2023!$C12,Accel2023!$C13,Accel2023!$C14)/1000</f>
        <v>6.39696971456525</v>
      </c>
      <c r="D4" s="46">
        <f>CHOOSE(D3,Accel2023!$C10,Accel2023!$C11,Accel2023!$C12,Accel2023!$C13,Accel2023!$C14)/1000</f>
        <v>8.4829058909642168</v>
      </c>
      <c r="E4" s="46">
        <f>CHOOSE(E3,Accel2023!$C10,Accel2023!$C11,Accel2023!$C12,Accel2023!$C13,Accel2023!$C14)/1000</f>
        <v>10.557517625633993</v>
      </c>
    </row>
    <row r="5" spans="1:5" x14ac:dyDescent="0.2">
      <c r="A5" s="126" t="s">
        <v>177</v>
      </c>
      <c r="B5" s="6" t="s">
        <v>178</v>
      </c>
      <c r="C5" s="47" t="str">
        <f>_xlfn.CONCAT("k'(GeV)@",FIXED(C4,1))</f>
        <v>k'(GeV)@6.4</v>
      </c>
      <c r="D5" s="47" t="str">
        <f t="shared" ref="D5:E5" si="0">_xlfn.CONCAT("k'(GeV)@",FIXED(D4,1))</f>
        <v>k'(GeV)@8.5</v>
      </c>
      <c r="E5" s="47" t="str">
        <f t="shared" si="0"/>
        <v>k'(GeV)@10.6</v>
      </c>
    </row>
    <row r="6" spans="1:5" x14ac:dyDescent="0.2">
      <c r="A6" s="126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26">
        <f t="shared" ref="A7:A39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26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26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26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26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26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26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26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26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26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26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26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26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26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26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26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26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26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26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26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26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26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26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26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26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26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10" x14ac:dyDescent="0.2">
      <c r="A33" s="126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10" x14ac:dyDescent="0.2">
      <c r="A34" s="126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10" x14ac:dyDescent="0.2">
      <c r="A35" s="126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10" x14ac:dyDescent="0.2">
      <c r="A36" s="126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37" spans="1:10" x14ac:dyDescent="0.2">
      <c r="A37" s="126">
        <f t="shared" si="1"/>
        <v>27.5</v>
      </c>
      <c r="B37" s="6">
        <f t="shared" ref="B37:B39" si="3">A37/180*3.14159265</f>
        <v>0.47996554375000006</v>
      </c>
      <c r="C37">
        <f>C$4/(1+C$4/'DVCS-Kin'!MProton*(1-COS($B37)))</f>
        <v>3.6134603847880591</v>
      </c>
      <c r="D37">
        <f>D$4/(1+D$4/'DVCS-Kin'!MProton*(1-COS($B37)))</f>
        <v>4.1963355921123622</v>
      </c>
      <c r="E37">
        <f>E$4/(1+E$4/'DVCS-Kin'!MProton*(1-COS($B37)))</f>
        <v>4.6481737820628002</v>
      </c>
    </row>
    <row r="38" spans="1:10" x14ac:dyDescent="0.2">
      <c r="A38" s="126">
        <f t="shared" si="1"/>
        <v>28</v>
      </c>
      <c r="B38" s="6">
        <f t="shared" si="3"/>
        <v>0.48869219000000003</v>
      </c>
      <c r="C38">
        <f>C$4/(1+C$4/'DVCS-Kin'!MProton*(1-COS($B38)))</f>
        <v>3.5577887155584631</v>
      </c>
      <c r="D38">
        <f>D$4/(1+D$4/'DVCS-Kin'!MProton*(1-COS($B38)))</f>
        <v>4.1214410623483921</v>
      </c>
      <c r="E38">
        <f>E$4/(1+E$4/'DVCS-Kin'!MProton*(1-COS($B38)))</f>
        <v>4.5564587356188051</v>
      </c>
    </row>
    <row r="39" spans="1:10" x14ac:dyDescent="0.2">
      <c r="A39" s="126">
        <f t="shared" si="1"/>
        <v>28.5</v>
      </c>
      <c r="B39" s="6">
        <f t="shared" si="3"/>
        <v>0.49741883625</v>
      </c>
      <c r="C39">
        <f>C$4/(1+C$4/'DVCS-Kin'!MProton*(1-COS($B39)))</f>
        <v>3.5029269150417472</v>
      </c>
      <c r="D39">
        <f>D$4/(1+D$4/'DVCS-Kin'!MProton*(1-COS($B39)))</f>
        <v>4.047998426413125</v>
      </c>
      <c r="E39">
        <f>E$4/(1+E$4/'DVCS-Kin'!MProton*(1-COS($B39)))</f>
        <v>4.4668626841349717</v>
      </c>
      <c r="J39">
        <f>2*C$4*C18*(1-COS(B18))</f>
        <v>3.0034645106102893</v>
      </c>
    </row>
    <row r="41" spans="1:10" x14ac:dyDescent="0.2">
      <c r="A41" s="131" t="s">
        <v>182</v>
      </c>
      <c r="B41" t="s">
        <v>181</v>
      </c>
      <c r="E41" t="s">
        <v>180</v>
      </c>
    </row>
    <row r="42" spans="1:10" x14ac:dyDescent="0.2">
      <c r="A42" s="133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10" x14ac:dyDescent="0.2">
      <c r="A43" s="133">
        <f>1+'DVCS-Kin'!MProton*(1/$E$4-1/E43)</f>
        <v>0.93548287311075795</v>
      </c>
      <c r="B43">
        <f t="shared" ref="B43:B46" si="4">ACOS(A43)</f>
        <v>0.361173252206201</v>
      </c>
      <c r="E43">
        <v>6.117</v>
      </c>
    </row>
    <row r="44" spans="1:10" x14ac:dyDescent="0.2">
      <c r="A44" s="133">
        <f>1+'DVCS-Kin'!MProton*(1/$E$4-1/E44)</f>
        <v>0.93321812451613884</v>
      </c>
      <c r="B44">
        <f t="shared" si="4"/>
        <v>0.36752879291765628</v>
      </c>
      <c r="E44">
        <v>6.0279999999999996</v>
      </c>
    </row>
    <row r="45" spans="1:10" x14ac:dyDescent="0.2">
      <c r="A45" s="133">
        <f>1+'DVCS-Kin'!MProton*(1/$E$4-1/E45)</f>
        <v>0.91645683023027891</v>
      </c>
      <c r="B45">
        <f t="shared" si="4"/>
        <v>0.41166259363405389</v>
      </c>
      <c r="E45">
        <v>5.4420000000000002</v>
      </c>
    </row>
    <row r="46" spans="1:10" x14ac:dyDescent="0.2">
      <c r="A46" s="133">
        <f>1+'DVCS-Kin'!MProton*(1/$E$4-1/E46)</f>
        <v>0.90943348299559024</v>
      </c>
      <c r="B46">
        <f t="shared" si="4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9" baseType="lpstr">
      <vt:lpstr>Accel2023</vt:lpstr>
      <vt:lpstr>DVCS-Kin</vt:lpstr>
      <vt:lpstr>Cross Sections</vt:lpstr>
      <vt:lpstr>DIS</vt:lpstr>
      <vt:lpstr>El Kin</vt:lpstr>
      <vt:lpstr>thq_vs_xBj</vt:lpstr>
      <vt:lpstr>alphaQED</vt:lpstr>
      <vt:lpstr>C_5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hbarcSq</vt:lpstr>
      <vt:lpstr>HMS_Acc</vt:lpstr>
      <vt:lpstr>HMS_ddelta</vt:lpstr>
      <vt:lpstr>HMS66_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Sieve_Solid_angle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2023-08-07T14:14:03Z</dcterms:modified>
</cp:coreProperties>
</file>